
<file path=[Content_Types].xml><?xml version="1.0" encoding="utf-8"?>
<Types xmlns="http://schemas.openxmlformats.org/package/2006/content-types">
  <Default Extension="xml" ContentType="application/xml"/>
  <Default Extension="vml" ContentType="application/vnd.openxmlformats-officedocument.vmlDrawing"/>
  <Default Extension="gif" ContentType="image/gif"/>
  <Default Extension="png" ContentType="image/png"/>
  <Default Extension="wmf" ContentType="image/x-wmf"/>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activeX/activeX1.bin" ContentType="application/vnd.ms-office.activeX"/>
  <Override PartName="/xl/activeX/activeX1.xml" ContentType="application/vnd.ms-office.activeX+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colors7.xml" ContentType="application/vnd.ms-office.chartcolorstyle+xml"/>
  <Override PartName="/xl/charts/colors8.xml" ContentType="application/vnd.ms-office.chartcolorstyle+xml"/>
  <Override PartName="/xl/charts/colors9.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charts/style7.xml" ContentType="application/vnd.ms-office.chartstyle+xml"/>
  <Override PartName="/xl/charts/style8.xml" ContentType="application/vnd.ms-office.chartstyle+xml"/>
  <Override PartName="/xl/charts/style9.xml" ContentType="application/vnd.ms-office.chartsty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Password="DE0E" lockStructure="1"/>
  <bookViews>
    <workbookView windowWidth="14630" windowHeight="6680" tabRatio="948" firstSheet="2" activeTab="8"/>
  </bookViews>
  <sheets>
    <sheet name="使用说明" sheetId="1" state="hidden" r:id="rId1"/>
    <sheet name="1、课程目标与考核方式" sheetId="2" r:id="rId2"/>
    <sheet name="2、试卷（期末）" sheetId="3" r:id="rId3"/>
    <sheet name="2、试卷（期末题目-课程目标）" sheetId="4" r:id="rId4"/>
    <sheet name="temp1" sheetId="5" state="hidden" r:id="rId5"/>
    <sheet name="3、期末成绩" sheetId="6" r:id="rId6"/>
    <sheet name="4、平时成绩" sheetId="7" r:id="rId7"/>
    <sheet name="5、打印达成度" sheetId="8" r:id="rId8"/>
    <sheet name="6、大纲" sheetId="18" r:id="rId9"/>
    <sheet name="7、散点图" sheetId="21" state="hidden" r:id="rId10"/>
    <sheet name="Sheet2" sheetId="19" state="hidden" r:id="rId11"/>
    <sheet name="7、自动毕业达成度评价表" sheetId="9" state="hidden" r:id="rId12"/>
    <sheet name="数据源" sheetId="13" state="hidden" r:id="rId13"/>
    <sheet name="Sheet1" sheetId="17" state="hidden" r:id="rId14"/>
    <sheet name="数据源1" sheetId="14" state="hidden" r:id="rId15"/>
    <sheet name="指标点" sheetId="20" state="hidden" r:id="rId16"/>
    <sheet name="期末成绩分析表" sheetId="16" state="hidden" r:id="rId17"/>
    <sheet name="平时成绩考核与评价方式表" sheetId="10" state="hidden" r:id="rId18"/>
    <sheet name="期末试卷分析表" sheetId="11" state="hidden" r:id="rId19"/>
    <sheet name="平均分统计表" sheetId="12" state="hidden" r:id="rId20"/>
  </sheets>
  <externalReferences>
    <externalReference r:id="rId22"/>
    <externalReference r:id="rId23"/>
    <externalReference r:id="rId24"/>
  </externalReferences>
  <definedNames>
    <definedName name="_xlnm._FilterDatabase" localSheetId="8" hidden="1">'6、大纲'!$Y$1:$Y$157</definedName>
    <definedName name="_xlnm._FilterDatabase" localSheetId="12" hidden="1">数据源!$A$58:$AQ$117</definedName>
    <definedName name="_xlnm._FilterDatabase" localSheetId="14" hidden="1">数据源1!$A$1:$A$64</definedName>
    <definedName name="_xlnm._FilterDatabase" localSheetId="1" hidden="1">'1、课程目标与考核方式'!#REF!</definedName>
    <definedName name="大">'1、课程目标与考核方式'!$K$2</definedName>
  </definedNames>
  <calcPr calcId="144525"/>
</workbook>
</file>

<file path=xl/comments1.xml><?xml version="1.0" encoding="utf-8"?>
<comments xmlns="http://schemas.openxmlformats.org/spreadsheetml/2006/main">
  <authors>
    <author>zszheng</author>
  </authors>
  <commentList>
    <comment ref="B1" authorId="0">
      <text>
        <r>
          <rPr>
            <b/>
            <sz val="9"/>
            <rFont val="宋体"/>
            <charset val="134"/>
          </rPr>
          <t>zszheng:</t>
        </r>
        <r>
          <rPr>
            <sz val="9"/>
            <rFont val="宋体"/>
            <charset val="134"/>
          </rPr>
          <t xml:space="preserve">
下拉选择</t>
        </r>
      </text>
    </comment>
    <comment ref="B3" authorId="0">
      <text>
        <r>
          <rPr>
            <sz val="9"/>
            <rFont val="宋体"/>
            <charset val="134"/>
          </rPr>
          <t xml:space="preserve">注意：下拉选择
所有的毕业要求都要有课程目标对应！！
</t>
        </r>
      </text>
    </comment>
  </commentList>
</comments>
</file>

<file path=xl/comments2.xml><?xml version="1.0" encoding="utf-8"?>
<comments xmlns="http://schemas.openxmlformats.org/spreadsheetml/2006/main">
  <authors>
    <author>86156</author>
  </authors>
  <commentList>
    <comment ref="B1" authorId="0">
      <text>
        <r>
          <rPr>
            <sz val="9"/>
            <rFont val="宋体"/>
            <charset val="134"/>
          </rPr>
          <t xml:space="preserve">选择学生的级别。18级还是19级等。
</t>
        </r>
      </text>
    </comment>
  </commentList>
</comments>
</file>

<file path=xl/comments3.xml><?xml version="1.0" encoding="utf-8"?>
<comments xmlns="http://schemas.openxmlformats.org/spreadsheetml/2006/main">
  <authors>
    <author>zszheng</author>
  </authors>
  <commentList>
    <comment ref="B1" authorId="0">
      <text>
        <r>
          <rPr>
            <b/>
            <sz val="9"/>
            <color rgb="FFFF0000"/>
            <rFont val="宋体"/>
            <charset val="134"/>
          </rPr>
          <t>zszheng:</t>
        </r>
        <r>
          <rPr>
            <sz val="9"/>
            <color rgb="FFFF0000"/>
            <rFont val="宋体"/>
            <charset val="134"/>
          </rPr>
          <t xml:space="preserve">
红色底纹不需要动，只填入绿色底纹学生成绩。
学生名单请先在表单</t>
        </r>
        <r>
          <rPr>
            <b/>
            <sz val="9"/>
            <color rgb="FF00FF00"/>
            <rFont val="宋体"/>
            <charset val="134"/>
          </rPr>
          <t>《3、期末成绩》</t>
        </r>
        <r>
          <rPr>
            <sz val="9"/>
            <color rgb="FFFF0000"/>
            <rFont val="宋体"/>
            <charset val="134"/>
          </rPr>
          <t>中录入！！</t>
        </r>
      </text>
    </comment>
  </commentList>
</comments>
</file>

<file path=xl/sharedStrings.xml><?xml version="1.0" encoding="utf-8"?>
<sst xmlns="http://schemas.openxmlformats.org/spreadsheetml/2006/main" count="1794" uniqueCount="810">
  <si>
    <t>请使用office 2010以上版本</t>
  </si>
  <si>
    <t>表单中仅黄底的表项可以修改或填写，需要填写的都在这些区域。其它表项是保护的</t>
  </si>
  <si>
    <t>是每届专业班级全部成绩汇总，（例如，一个课分三个班由不同老师教学与考试，应由课程负责人收集汇总处理）</t>
  </si>
  <si>
    <t>课程达成度，无论是专业评估还是认证，都是以专业为单位的</t>
  </si>
  <si>
    <t>操作步骤：</t>
  </si>
  <si>
    <t>使用表单</t>
  </si>
  <si>
    <t>备注</t>
  </si>
  <si>
    <t>一、大纲确定考核细则</t>
  </si>
  <si>
    <t>考核与评价方式表</t>
  </si>
  <si>
    <t>请在这个表单里填写:课程名(课程号)</t>
  </si>
  <si>
    <t>二、出卷时确定大小题知识点与分值</t>
  </si>
  <si>
    <t>期末试卷试题分布表</t>
  </si>
  <si>
    <t>大题及分数</t>
  </si>
  <si>
    <t>期末试卷每小题对应课程目标的分布表</t>
  </si>
  <si>
    <t>小题及分数</t>
  </si>
  <si>
    <t>三、分数录入：</t>
  </si>
  <si>
    <t>请从urp下载学生名单，并将学号与姓名二列粘到"期未试卷原始表"这个表单中</t>
  </si>
  <si>
    <t>期末试卷原始成绩表</t>
  </si>
  <si>
    <t>小题的列是浮动，学号列是固定的，移动请用箭头键，或鼠标请点击右下角的移动列按钮</t>
  </si>
  <si>
    <t>期末试卷原始成绩表填写的时候不允许有空行（也就是按照自上而下的顺序填写学生的试卷分数）</t>
  </si>
  <si>
    <t>平时成绩表及大题成绩汇总表</t>
  </si>
  <si>
    <t>注意出勤不能记入平时成绩</t>
  </si>
  <si>
    <t>这个表里有平时成绩，卷面成绩可粘出作为urp自动导入成绩的参考</t>
  </si>
  <si>
    <t>四、打印报表(自动生成)</t>
  </si>
  <si>
    <t>课程目标达成度分析</t>
  </si>
  <si>
    <t>全部课程都需要</t>
  </si>
  <si>
    <t>打印二份，一份装袋，一份交专业留存，本表格电子版（文件名：课程号-课程名-学期-学生年级）发专业汇总，并任课老师留存</t>
  </si>
  <si>
    <t>五、毕业要求达成度(自动生成)</t>
  </si>
  <si>
    <t>达成度评价表</t>
  </si>
  <si>
    <t>必修或限选课程需要</t>
  </si>
  <si>
    <t>只有黄底红字需要自己填写，其它无需改动</t>
  </si>
  <si>
    <t>课程名：</t>
  </si>
  <si>
    <t>虚拟现实(22版)</t>
  </si>
  <si>
    <t>课程号：</t>
  </si>
  <si>
    <t>考核与评价方式及成绩比例（%）</t>
  </si>
  <si>
    <t>支撑毕业要求具体内容</t>
  </si>
  <si>
    <t>拷贝毕业要求（右键下面单元格、复制，选择性粘贴到新的Excel文档中）</t>
  </si>
  <si>
    <t>课程目标跟毕业要求需要对应，从学的角度阐述。</t>
  </si>
  <si>
    <t>提示</t>
  </si>
  <si>
    <t>课程目标</t>
  </si>
  <si>
    <t>毕业要求</t>
  </si>
  <si>
    <t>平时作业</t>
  </si>
  <si>
    <t>期末考试</t>
  </si>
  <si>
    <t>成绩比例</t>
  </si>
  <si>
    <t>期末试卷实际分值分配</t>
  </si>
  <si>
    <r>
      <rPr>
        <b/>
        <sz val="10.5"/>
        <rFont val="宋体"/>
        <charset val="134"/>
      </rPr>
      <t>课程目标</t>
    </r>
    <r>
      <rPr>
        <b/>
        <sz val="10.5"/>
        <rFont val="Times New Roman"/>
        <charset val="134"/>
      </rPr>
      <t>1</t>
    </r>
  </si>
  <si>
    <t>下拉列表</t>
  </si>
  <si>
    <r>
      <rPr>
        <b/>
        <sz val="10.5"/>
        <rFont val="宋体"/>
        <charset val="134"/>
      </rPr>
      <t>课程目标</t>
    </r>
    <r>
      <rPr>
        <b/>
        <sz val="10.5"/>
        <rFont val="Times New Roman"/>
        <charset val="134"/>
      </rPr>
      <t>2</t>
    </r>
  </si>
  <si>
    <r>
      <rPr>
        <sz val="8"/>
        <color rgb="FF000000"/>
        <rFont val="等线"/>
        <charset val="134"/>
      </rPr>
      <t>请输入跟毕业要求相适应的课程目标，突出学生能力。</t>
    </r>
    <r>
      <rPr>
        <sz val="8"/>
        <color rgb="FFFF0000"/>
        <rFont val="等线"/>
        <charset val="134"/>
      </rPr>
      <t>示例 ：能够.....</t>
    </r>
  </si>
  <si>
    <t>课程目标3</t>
  </si>
  <si>
    <t>合计</t>
  </si>
  <si>
    <t>如果没有某考核项，请保证对应单元格中的内容为空，不要写0
如果没有对应课程目标，也请删除相关行的“课程目标X"
所有表单中红色的动不了，只能动绿的~~~</t>
  </si>
  <si>
    <t>空间专业18版大纲下载</t>
  </si>
  <si>
    <t>试卷归档4件套下载</t>
  </si>
  <si>
    <t xml:space="preserve">V2022Beta：增加了22版培养方案课程、删除了16版培养方案课程。修正了期末不考核某个目标时达成度为0的情况。增加了达成度的学生级别选择。毕业要求指标点和内涵有所变化。 </t>
  </si>
  <si>
    <t>学生级别</t>
  </si>
  <si>
    <t>19级</t>
  </si>
  <si>
    <t>第一大题</t>
  </si>
  <si>
    <t>小题</t>
  </si>
  <si>
    <t>第二大题</t>
  </si>
  <si>
    <t>第三大题</t>
  </si>
  <si>
    <t>第四大题</t>
  </si>
  <si>
    <t>第五大题</t>
  </si>
  <si>
    <t>第六大题</t>
  </si>
  <si>
    <t>第七大题</t>
  </si>
  <si>
    <t xml:space="preserve">  </t>
  </si>
  <si>
    <t>第八大题</t>
  </si>
  <si>
    <t>第九大题</t>
  </si>
  <si>
    <t>第十大题</t>
  </si>
  <si>
    <t>总数</t>
  </si>
  <si>
    <t xml:space="preserve">   </t>
  </si>
  <si>
    <t>这一列填每大题的小题数</t>
  </si>
  <si>
    <t>满分分值</t>
  </si>
  <si>
    <t>题目1</t>
  </si>
  <si>
    <t>2</t>
  </si>
  <si>
    <t>小题归属大题是由左边的表单内容决定的</t>
  </si>
  <si>
    <t>题目2</t>
  </si>
  <si>
    <t>左边表单设定了每题大题的小题数目</t>
  </si>
  <si>
    <t>题目3</t>
  </si>
  <si>
    <t>3</t>
  </si>
  <si>
    <t>题目4</t>
  </si>
  <si>
    <t>题目5</t>
  </si>
  <si>
    <t>5</t>
  </si>
  <si>
    <t>所有大题中的小题数：</t>
  </si>
  <si>
    <t>期末满分总分：</t>
  </si>
  <si>
    <t>题目6</t>
  </si>
  <si>
    <t>题目7</t>
  </si>
  <si>
    <t>题目8</t>
  </si>
  <si>
    <t>题目9</t>
  </si>
  <si>
    <t>题目10</t>
  </si>
  <si>
    <t>题目11</t>
  </si>
  <si>
    <t>题目12</t>
  </si>
  <si>
    <t>题目13</t>
  </si>
  <si>
    <t>题目14</t>
  </si>
  <si>
    <t>题目15</t>
  </si>
  <si>
    <t>题目16</t>
  </si>
  <si>
    <t>题目17</t>
  </si>
  <si>
    <t>题目18</t>
  </si>
  <si>
    <t>题目19</t>
  </si>
  <si>
    <t>题目20</t>
  </si>
  <si>
    <t>题目21</t>
  </si>
  <si>
    <t>题目22</t>
  </si>
  <si>
    <t>题目23</t>
  </si>
  <si>
    <t>题目24</t>
  </si>
  <si>
    <t>题目25</t>
  </si>
  <si>
    <t>题目26</t>
  </si>
  <si>
    <t>题目27</t>
  </si>
  <si>
    <t>题目28</t>
  </si>
  <si>
    <t>题目29</t>
  </si>
  <si>
    <t>题目30</t>
  </si>
  <si>
    <t>题目31</t>
  </si>
  <si>
    <t>题目32</t>
  </si>
  <si>
    <t>题目33</t>
  </si>
  <si>
    <t>题目34</t>
  </si>
  <si>
    <t>题目35</t>
  </si>
  <si>
    <t>题目36</t>
  </si>
  <si>
    <t>题目37</t>
  </si>
  <si>
    <t>题目38</t>
  </si>
  <si>
    <t>题目39</t>
  </si>
  <si>
    <t>题目40</t>
  </si>
  <si>
    <t>题目41</t>
  </si>
  <si>
    <t>题目42</t>
  </si>
  <si>
    <t>题目43</t>
  </si>
  <si>
    <t>题目44</t>
  </si>
  <si>
    <t>题目45</t>
  </si>
  <si>
    <t>题目46</t>
  </si>
  <si>
    <t>题目47</t>
  </si>
  <si>
    <t>题目48</t>
  </si>
  <si>
    <t>题目49</t>
  </si>
  <si>
    <t>题目50</t>
  </si>
  <si>
    <t>题目51</t>
  </si>
  <si>
    <t>题目52</t>
  </si>
  <si>
    <t>题目53</t>
  </si>
  <si>
    <t>题目54</t>
  </si>
  <si>
    <t>题目55</t>
  </si>
  <si>
    <t>题目56</t>
  </si>
  <si>
    <t>题目57</t>
  </si>
  <si>
    <t>题目58</t>
  </si>
  <si>
    <t>题目59</t>
  </si>
  <si>
    <t>题目60</t>
  </si>
  <si>
    <t>题目61</t>
  </si>
  <si>
    <t>题目62</t>
  </si>
  <si>
    <t>题目63</t>
  </si>
  <si>
    <t>题目64</t>
  </si>
  <si>
    <t>题目65</t>
  </si>
  <si>
    <t>题目66</t>
  </si>
  <si>
    <t>题目67</t>
  </si>
  <si>
    <t>题目68</t>
  </si>
  <si>
    <t>题目69</t>
  </si>
  <si>
    <t>题目70</t>
  </si>
  <si>
    <t>题目71</t>
  </si>
  <si>
    <t>题目72</t>
  </si>
  <si>
    <t>题目73</t>
  </si>
  <si>
    <t>题目74</t>
  </si>
  <si>
    <t>题目75</t>
  </si>
  <si>
    <t>题目76</t>
  </si>
  <si>
    <t>题目77</t>
  </si>
  <si>
    <t>题目78</t>
  </si>
  <si>
    <t>题目79</t>
  </si>
  <si>
    <t>题目80</t>
  </si>
  <si>
    <t>级</t>
  </si>
  <si>
    <t>届</t>
  </si>
  <si>
    <t>学号(必填）</t>
  </si>
  <si>
    <t>姓名（必填）</t>
  </si>
  <si>
    <t>试卷总分</t>
  </si>
  <si>
    <t>总评成绩</t>
  </si>
  <si>
    <t>1653101</t>
  </si>
  <si>
    <t>颜臻珑</t>
  </si>
  <si>
    <t>1653102</t>
  </si>
  <si>
    <t>陈沁怡</t>
  </si>
  <si>
    <t>1653103</t>
  </si>
  <si>
    <t>邓伊凡</t>
  </si>
  <si>
    <t>1653104</t>
  </si>
  <si>
    <t>董思佳</t>
  </si>
  <si>
    <t>1653105</t>
  </si>
  <si>
    <t>姜雨涵</t>
  </si>
  <si>
    <t>1653106</t>
  </si>
  <si>
    <t>杜虹樾</t>
  </si>
  <si>
    <t>1653107</t>
  </si>
  <si>
    <t>张小宇</t>
  </si>
  <si>
    <t>1653108</t>
  </si>
  <si>
    <t>李丽月</t>
  </si>
  <si>
    <t>1653109</t>
  </si>
  <si>
    <t>潘静</t>
  </si>
  <si>
    <t>1653110</t>
  </si>
  <si>
    <t>张仕翠</t>
  </si>
  <si>
    <t>1653111</t>
  </si>
  <si>
    <t>曾利荣</t>
  </si>
  <si>
    <t>1653112</t>
  </si>
  <si>
    <t>李馨月</t>
  </si>
  <si>
    <t>1653113</t>
  </si>
  <si>
    <t>聂甜梦</t>
  </si>
  <si>
    <t>1653114</t>
  </si>
  <si>
    <t>方嵩杨</t>
  </si>
  <si>
    <t>1653115</t>
  </si>
  <si>
    <t>王宇豪</t>
  </si>
  <si>
    <t>1653117</t>
  </si>
  <si>
    <t>盛腾飞</t>
  </si>
  <si>
    <t>1653118</t>
  </si>
  <si>
    <t>廖章泽</t>
  </si>
  <si>
    <t>1653120</t>
  </si>
  <si>
    <t>汤索</t>
  </si>
  <si>
    <t>1653121</t>
  </si>
  <si>
    <t>刘强慧</t>
  </si>
  <si>
    <t>1653122</t>
  </si>
  <si>
    <t>陈瑞</t>
  </si>
  <si>
    <t>1653123</t>
  </si>
  <si>
    <t>苏同</t>
  </si>
  <si>
    <t>1653124</t>
  </si>
  <si>
    <t>卢嘉杰</t>
  </si>
  <si>
    <t>1653125</t>
  </si>
  <si>
    <t>张泽铭</t>
  </si>
  <si>
    <t>1653126</t>
  </si>
  <si>
    <t>张锦海</t>
  </si>
  <si>
    <t>1653127</t>
  </si>
  <si>
    <t>刘存锟</t>
  </si>
  <si>
    <t>1653128</t>
  </si>
  <si>
    <t>贾振玉</t>
  </si>
  <si>
    <t>1653130</t>
  </si>
  <si>
    <t>覃戈</t>
  </si>
  <si>
    <t>1653133</t>
  </si>
  <si>
    <t>董伟</t>
  </si>
  <si>
    <t>1653134</t>
  </si>
  <si>
    <t>石昊宇</t>
  </si>
  <si>
    <t>1653135</t>
  </si>
  <si>
    <t>刘云强</t>
  </si>
  <si>
    <t>1653136</t>
  </si>
  <si>
    <t>孙振运</t>
  </si>
  <si>
    <t>1653137</t>
  </si>
  <si>
    <t>董静</t>
  </si>
  <si>
    <t>1653138</t>
  </si>
  <si>
    <t>姜星竹</t>
  </si>
  <si>
    <t>1653139</t>
  </si>
  <si>
    <t>李少卿</t>
  </si>
  <si>
    <t>1653140</t>
  </si>
  <si>
    <t>童玉婷</t>
  </si>
  <si>
    <t>1653201</t>
  </si>
  <si>
    <t>陈匡桦</t>
  </si>
  <si>
    <t>1653202</t>
  </si>
  <si>
    <t>蔡文燕</t>
  </si>
  <si>
    <t>1653203</t>
  </si>
  <si>
    <t>沈晓羽</t>
  </si>
  <si>
    <t>1653204</t>
  </si>
  <si>
    <t>宋睿昕</t>
  </si>
  <si>
    <t>1653205</t>
  </si>
  <si>
    <t>陈毓雯</t>
  </si>
  <si>
    <t>1653206</t>
  </si>
  <si>
    <t>陈莹</t>
  </si>
  <si>
    <t>1653207</t>
  </si>
  <si>
    <t>时峥</t>
  </si>
  <si>
    <t>1653208</t>
  </si>
  <si>
    <t>谢沚娟</t>
  </si>
  <si>
    <t>1653209</t>
  </si>
  <si>
    <t>韦秋彤</t>
  </si>
  <si>
    <t>1653210</t>
  </si>
  <si>
    <t>童竹雯</t>
  </si>
  <si>
    <t>1653211</t>
  </si>
  <si>
    <t>吴本维</t>
  </si>
  <si>
    <t>1653212</t>
  </si>
  <si>
    <t>郭薇煊</t>
  </si>
  <si>
    <t>1653213</t>
  </si>
  <si>
    <t>祝瑞昊</t>
  </si>
  <si>
    <t>1653214</t>
  </si>
  <si>
    <t>冯昊樑</t>
  </si>
  <si>
    <t>1653215</t>
  </si>
  <si>
    <t>陈伟刚</t>
  </si>
  <si>
    <t>1653216</t>
  </si>
  <si>
    <t>郭金宇</t>
  </si>
  <si>
    <t>1653217</t>
  </si>
  <si>
    <t>高川</t>
  </si>
  <si>
    <t>1653218</t>
  </si>
  <si>
    <t>马伟杰</t>
  </si>
  <si>
    <t>1653219</t>
  </si>
  <si>
    <t>裴祥君</t>
  </si>
  <si>
    <t>1653220</t>
  </si>
  <si>
    <t>李森</t>
  </si>
  <si>
    <t>1653221</t>
  </si>
  <si>
    <t>汤圣铭</t>
  </si>
  <si>
    <t>1653222</t>
  </si>
  <si>
    <t>邢鹏</t>
  </si>
  <si>
    <t>1653223</t>
  </si>
  <si>
    <t>徐俊章</t>
  </si>
  <si>
    <t>1653224</t>
  </si>
  <si>
    <t>林杰</t>
  </si>
  <si>
    <t>1653225</t>
  </si>
  <si>
    <t>蔡腾锋</t>
  </si>
  <si>
    <t>1653226</t>
  </si>
  <si>
    <t>赖铭志</t>
  </si>
  <si>
    <t>1653227</t>
  </si>
  <si>
    <t>陈昭霖</t>
  </si>
  <si>
    <t>1653228</t>
  </si>
  <si>
    <t>杨欣</t>
  </si>
  <si>
    <t>1653229</t>
  </si>
  <si>
    <t>张连坡</t>
  </si>
  <si>
    <t>1653230</t>
  </si>
  <si>
    <t>王元天</t>
  </si>
  <si>
    <t>1653231</t>
  </si>
  <si>
    <t>蒋弦志</t>
  </si>
  <si>
    <t>1653232</t>
  </si>
  <si>
    <t>李传奇</t>
  </si>
  <si>
    <t>1653233</t>
  </si>
  <si>
    <t>庞伟雄</t>
  </si>
  <si>
    <t>1653235</t>
  </si>
  <si>
    <t>潘文俊</t>
  </si>
  <si>
    <t>1653236</t>
  </si>
  <si>
    <t>赵海旭</t>
  </si>
  <si>
    <t>学号</t>
  </si>
  <si>
    <t>姓名</t>
  </si>
  <si>
    <t>平时成绩</t>
  </si>
  <si>
    <t>第一题</t>
  </si>
  <si>
    <t>第二题</t>
  </si>
  <si>
    <t>第三题</t>
  </si>
  <si>
    <t>第四题</t>
  </si>
  <si>
    <t>第五题</t>
  </si>
  <si>
    <t>第六题</t>
  </si>
  <si>
    <t>第七题</t>
  </si>
  <si>
    <t>第八题</t>
  </si>
  <si>
    <t>第九题</t>
  </si>
  <si>
    <t>第十题</t>
  </si>
  <si>
    <t>课程目标达成度</t>
  </si>
  <si>
    <t>试卷成绩和课程目标情况分析</t>
  </si>
  <si>
    <r>
      <rPr>
        <sz val="10"/>
        <color indexed="8"/>
        <rFont val="宋体"/>
        <charset val="134"/>
      </rPr>
      <t>大纲分值</t>
    </r>
  </si>
  <si>
    <r>
      <rPr>
        <sz val="10"/>
        <color indexed="8"/>
        <rFont val="宋体"/>
        <charset val="134"/>
      </rPr>
      <t>试题分值</t>
    </r>
  </si>
  <si>
    <r>
      <rPr>
        <sz val="10"/>
        <color indexed="8"/>
        <rFont val="宋体"/>
        <charset val="134"/>
      </rPr>
      <t>平均得分</t>
    </r>
  </si>
  <si>
    <r>
      <rPr>
        <sz val="10"/>
        <color indexed="8"/>
        <rFont val="宋体"/>
        <charset val="134"/>
      </rPr>
      <t>课程目标达成度</t>
    </r>
  </si>
  <si>
    <r>
      <rPr>
        <sz val="10"/>
        <color indexed="8"/>
        <rFont val="宋体"/>
        <charset val="134"/>
      </rPr>
      <t>试卷与大纲偏差比</t>
    </r>
  </si>
  <si>
    <t>平时成绩和课程目标情况分析</t>
  </si>
  <si>
    <t>目标达成度</t>
  </si>
  <si>
    <r>
      <rPr>
        <sz val="10"/>
        <color indexed="8"/>
        <rFont val="宋体"/>
        <charset val="134"/>
      </rPr>
      <t>占比</t>
    </r>
  </si>
  <si>
    <r>
      <rPr>
        <sz val="10"/>
        <color indexed="8"/>
        <rFont val="宋体"/>
        <charset val="134"/>
      </rPr>
      <t>达成度</t>
    </r>
  </si>
  <si>
    <t>加权达成度</t>
  </si>
  <si>
    <t>课程达成度（MIN）</t>
  </si>
  <si>
    <t>毕业指标点</t>
  </si>
  <si>
    <r>
      <rPr>
        <sz val="10"/>
        <color rgb="FF000000"/>
        <rFont val="宋体"/>
        <charset val="134"/>
      </rPr>
      <t>达成值</t>
    </r>
    <r>
      <rPr>
        <sz val="11"/>
        <color rgb="FF000000"/>
        <rFont val="Times New Roman"/>
        <charset val="134"/>
      </rPr>
      <t xml:space="preserve"> </t>
    </r>
  </si>
  <si>
    <t>权重</t>
  </si>
  <si>
    <r>
      <rPr>
        <sz val="10"/>
        <rFont val="宋体"/>
        <charset val="134"/>
      </rPr>
      <t>课程负责人</t>
    </r>
    <r>
      <rPr>
        <sz val="10"/>
        <rFont val="Times New Roman"/>
        <charset val="134"/>
      </rPr>
      <t>:</t>
    </r>
  </si>
  <si>
    <t xml:space="preserve">                                   </t>
  </si>
  <si>
    <r>
      <rPr>
        <sz val="10"/>
        <rFont val="宋体"/>
        <charset val="134"/>
      </rPr>
      <t>任课老师</t>
    </r>
    <r>
      <rPr>
        <sz val="10"/>
        <rFont val="Times New Roman"/>
        <charset val="134"/>
      </rPr>
      <t>:</t>
    </r>
  </si>
  <si>
    <r>
      <rPr>
        <sz val="10"/>
        <rFont val="宋体"/>
        <charset val="134"/>
      </rPr>
      <t>专业负责人</t>
    </r>
    <r>
      <rPr>
        <sz val="10"/>
        <rFont val="Times New Roman"/>
        <charset val="134"/>
      </rPr>
      <t>:</t>
    </r>
  </si>
  <si>
    <r>
      <rPr>
        <sz val="10"/>
        <rFont val="宋体"/>
        <charset val="134"/>
      </rPr>
      <t>日期</t>
    </r>
    <r>
      <rPr>
        <sz val="10"/>
        <rFont val="Times New Roman"/>
        <charset val="134"/>
      </rPr>
      <t>:</t>
    </r>
  </si>
  <si>
    <t>注：本表为试卷袋存档页，课程达成度的分析与改进见专业存档。</t>
  </si>
  <si>
    <t>试卷归档四件套：</t>
  </si>
  <si>
    <r>
      <rPr>
        <sz val="11"/>
        <color rgb="FF000000"/>
        <rFont val="Times New Roman"/>
        <charset val="134"/>
      </rPr>
      <t>1</t>
    </r>
    <r>
      <rPr>
        <sz val="11"/>
        <color rgb="FF000000"/>
        <rFont val="宋体"/>
        <charset val="134"/>
      </rPr>
      <t>、考核内容方式合理性审核表</t>
    </r>
    <r>
      <rPr>
        <sz val="11"/>
        <color rgb="FF000000"/>
        <rFont val="Times New Roman"/>
        <charset val="134"/>
      </rPr>
      <t xml:space="preserve">
2</t>
    </r>
    <r>
      <rPr>
        <sz val="11"/>
        <color rgb="FF000000"/>
        <rFont val="宋体"/>
        <charset val="134"/>
      </rPr>
      <t>、命题与课程目标对应表</t>
    </r>
    <r>
      <rPr>
        <sz val="11"/>
        <color rgb="FF000000"/>
        <rFont val="Times New Roman"/>
        <charset val="134"/>
      </rPr>
      <t xml:space="preserve">
</t>
    </r>
    <r>
      <rPr>
        <b/>
        <sz val="11"/>
        <color rgb="FF000000"/>
        <rFont val="Times New Roman"/>
        <charset val="134"/>
      </rPr>
      <t>3</t>
    </r>
    <r>
      <rPr>
        <b/>
        <sz val="11"/>
        <color rgb="FF000000"/>
        <rFont val="宋体"/>
        <charset val="134"/>
      </rPr>
      <t>、达成度计算结果（本表）</t>
    </r>
    <r>
      <rPr>
        <sz val="11"/>
        <color rgb="FF000000"/>
        <rFont val="Times New Roman"/>
        <charset val="134"/>
      </rPr>
      <t xml:space="preserve">
4</t>
    </r>
    <r>
      <rPr>
        <sz val="11"/>
        <color rgb="FF000000"/>
        <rFont val="宋体"/>
        <charset val="134"/>
      </rPr>
      <t>、达成度分析与改进措施</t>
    </r>
  </si>
  <si>
    <t>打印检测</t>
  </si>
  <si>
    <t>课程名称（中文/英文）：程序设计基础I（Programming Foundations I）  5204210</t>
  </si>
  <si>
    <t>Advanced Mathematics(1)</t>
  </si>
  <si>
    <t xml:space="preserve"> 课程编号：</t>
  </si>
  <si>
    <t>学分：</t>
  </si>
  <si>
    <t>学时：总学时</t>
  </si>
  <si>
    <t>学时分配：</t>
  </si>
  <si>
    <t>讲授学时：</t>
  </si>
  <si>
    <t>实验学时：</t>
  </si>
  <si>
    <t>上机学时：</t>
  </si>
  <si>
    <t>其他学时：</t>
  </si>
  <si>
    <t>课程负责人：</t>
  </si>
  <si>
    <t>ee</t>
  </si>
  <si>
    <t>一、 课程简介</t>
  </si>
  <si>
    <t>1. 概述</t>
  </si>
  <si>
    <t>本课程的研究对象是函数（变化过程中量的依赖关系）。内容包括函数、极限、连续，一元函数微分学，一元函数积分学。要通过各个教学环节逐步培养学生的抽象思维能力、逻辑推理能力、空间想象能力和自学能力，还要特别注意培养学生的熟练运算能力和综合运用所学知识去分析解决问题的能力。
This course considers the functions as the objective. The content includes functions, limits, and continuity, single variable calculus.This course prepares students for subsequent courses in mathematics, sciences, engineering, and management. Upon successful completion of this course, students will be able to master the fundamental concepts, theorems, and methods of calculus, and develop problem-solving skills using calculus to solve problems arising in other courses and in real life.</t>
  </si>
  <si>
    <t>2.课程目标</t>
  </si>
  <si>
    <t>3.课程目标与毕业要求的关系矩阵</t>
  </si>
  <si>
    <t>毕业要求指标点</t>
  </si>
  <si>
    <t>二、教学内容</t>
  </si>
  <si>
    <t>理论课章节名称</t>
  </si>
  <si>
    <t>知识点</t>
  </si>
  <si>
    <t>教学方式</t>
  </si>
  <si>
    <t>示例：第一章  程序设计与C语言概述</t>
  </si>
  <si>
    <t>程序设计概述，C语言的特点，C程序的基本结构</t>
  </si>
  <si>
    <t>示例：1、2</t>
  </si>
  <si>
    <t>讲授法</t>
  </si>
  <si>
    <t>实验、设计课名称</t>
  </si>
  <si>
    <t>示例：实验1：***</t>
  </si>
  <si>
    <t>实验法</t>
  </si>
  <si>
    <t>三、教学方法</t>
  </si>
  <si>
    <t xml:space="preserve">示例：教师讲授与上机相结合，围绕基本概念、语法以及程序设计的基本方法进行教学。要求在教学中从思想上向学生灌输计算思维的基本原则与方法，在实践层面突出培养学生对程序设计的硬件基础---冯诺依曼计算机基本组成的理解。
</t>
  </si>
  <si>
    <r>
      <rPr>
        <b/>
        <sz val="11"/>
        <color theme="1"/>
        <rFont val="微软雅黑"/>
        <charset val="134"/>
      </rPr>
      <t>四、考核与评价方式及标准</t>
    </r>
    <r>
      <rPr>
        <b/>
        <sz val="11"/>
        <color rgb="FFFF0000"/>
        <rFont val="微软雅黑"/>
        <charset val="134"/>
      </rPr>
      <t>（只填写显示课程目标的行）</t>
    </r>
  </si>
  <si>
    <t>优</t>
  </si>
  <si>
    <t>良</t>
  </si>
  <si>
    <t>合格</t>
  </si>
  <si>
    <t>不合格</t>
  </si>
  <si>
    <t>说明：突出学生能力考核，能够怎么样。示例：能够深入理解程序设计的基本原理和一般方法。能够正确进行程序设计和分析，提出的解决方案正确、合理。（下同）</t>
  </si>
  <si>
    <t>五、参考教材和阅读书目</t>
  </si>
  <si>
    <r>
      <rPr>
        <sz val="9"/>
        <color rgb="FFFF0000"/>
        <rFont val="宋体"/>
        <charset val="134"/>
        <scheme val="major"/>
      </rPr>
      <t xml:space="preserve">示例：
</t>
    </r>
    <r>
      <rPr>
        <sz val="9"/>
        <rFont val="宋体"/>
        <charset val="134"/>
        <scheme val="major"/>
      </rPr>
      <t>教材：《C语言程序设计（第四版）》，谭浩强编，清华大学出版社，2010年
阅读书目：
1.C程序设计语言(第2版)，B.W.Kernighan &amp; D.M.Rithie著，徐宝文译，机械工业出版社
2.Beginning C: From Novice to Professional(C语言入门经典), Fourth Edition Apress，Ivor Horton, ISBN 1590597354 C 
3.Primer Plus，（美）普拉塔（Prata,　S.） 著，云巅工作室译，人民邮电出版社 , （第五版）
4.The Art of Computer Programming，Donald E. Knuth(高德纳)译者:苏运霖,机械工业出版社
5.深入理解计算机系统，Randal E.Bryant / David R.O’Hallaron编著 ，机械工业出版社</t>
    </r>
  </si>
  <si>
    <r>
      <rPr>
        <b/>
        <sz val="11"/>
        <color theme="1"/>
        <rFont val="微软雅黑"/>
        <charset val="134"/>
      </rPr>
      <t>六</t>
    </r>
    <r>
      <rPr>
        <b/>
        <sz val="11"/>
        <color rgb="FF000000"/>
        <rFont val="微软雅黑"/>
        <charset val="134"/>
      </rPr>
      <t>、本课程与其它课程的联系与分工</t>
    </r>
  </si>
  <si>
    <r>
      <rPr>
        <sz val="9"/>
        <color rgb="FFFF0000"/>
        <rFont val="宋体"/>
        <charset val="134"/>
        <scheme val="major"/>
      </rPr>
      <t>示例：</t>
    </r>
    <r>
      <rPr>
        <sz val="9"/>
        <rFont val="宋体"/>
        <charset val="134"/>
        <scheme val="major"/>
      </rPr>
      <t>本课程开设在一年级第一学期，是后续的面向对象程序设计， Windows程序设计，Java程序设计等程序设计语言的基础。</t>
    </r>
  </si>
  <si>
    <t>七、说明</t>
  </si>
  <si>
    <r>
      <rPr>
        <sz val="9"/>
        <color rgb="FFFF0000"/>
        <rFont val="宋体"/>
        <charset val="134"/>
        <scheme val="major"/>
      </rPr>
      <t xml:space="preserve"> 示例：</t>
    </r>
    <r>
      <rPr>
        <sz val="9"/>
        <rFont val="宋体"/>
        <charset val="134"/>
        <scheme val="major"/>
      </rPr>
      <t>2017校级精品课程王</t>
    </r>
  </si>
  <si>
    <t>撰写人：</t>
  </si>
  <si>
    <t>冯国富</t>
  </si>
  <si>
    <t>审核人：</t>
  </si>
  <si>
    <t>张晨静</t>
  </si>
  <si>
    <t>教学院长：</t>
  </si>
  <si>
    <t>袁红春</t>
  </si>
  <si>
    <t>日期：</t>
  </si>
  <si>
    <t>22版新大纲撰写：根据教务处安排22版新大纲有新要求，可以参考以下模板撰写。</t>
  </si>
  <si>
    <t>第一步：在表单《1、课程目标与考核方式》中找到自己的课程并选择自己的毕业要求</t>
  </si>
  <si>
    <t>去设置</t>
  </si>
  <si>
    <t>第二步：以下信息自动生成，可作为撰写新大纲的依据</t>
  </si>
  <si>
    <t>课程名称 ：</t>
  </si>
  <si>
    <t>课程编号</t>
  </si>
  <si>
    <t>总学时</t>
  </si>
  <si>
    <t>实验学时</t>
  </si>
  <si>
    <t>上机学时</t>
  </si>
  <si>
    <t>需要支撑的毕业要求</t>
  </si>
  <si>
    <t>（右键下面单元格、复制，选择性粘贴）不要修改里面的公式。</t>
  </si>
  <si>
    <t>综合与通识必修课</t>
  </si>
  <si>
    <t>综合与通识选修课</t>
  </si>
  <si>
    <t>专业课程</t>
  </si>
  <si>
    <t>学科基础课程</t>
  </si>
  <si>
    <t>实验课程</t>
  </si>
  <si>
    <t>实习（实践）课程</t>
  </si>
  <si>
    <t>毕业论文（设计）</t>
  </si>
  <si>
    <t>第三步：根据以上信息，结果</t>
  </si>
  <si>
    <t>结合</t>
  </si>
  <si>
    <t>18版大纲</t>
  </si>
  <si>
    <t>按以下模板撰写形成</t>
  </si>
  <si>
    <t>22版课程大纲</t>
  </si>
  <si>
    <t>你的课程属于：</t>
  </si>
  <si>
    <t>撰写模板：</t>
  </si>
  <si>
    <t>第四步：</t>
  </si>
  <si>
    <t>形成2022版新课程大纲</t>
  </si>
  <si>
    <t>课程目标1</t>
  </si>
  <si>
    <t>课程目标2</t>
  </si>
  <si>
    <t>课程目标4</t>
  </si>
  <si>
    <t>课程目标5</t>
  </si>
  <si>
    <t>课程目标6</t>
  </si>
  <si>
    <t>课程目标7</t>
  </si>
  <si>
    <t>课程目标8</t>
  </si>
  <si>
    <t>平时达成1</t>
  </si>
  <si>
    <t>平时达成2</t>
  </si>
  <si>
    <t>平时达成3</t>
  </si>
  <si>
    <t>平时达成4</t>
  </si>
  <si>
    <t>平时达成5</t>
  </si>
  <si>
    <t>平时达成6</t>
  </si>
  <si>
    <t>平时达成7</t>
  </si>
  <si>
    <t>平时达成8</t>
  </si>
  <si>
    <t>期末达成1</t>
  </si>
  <si>
    <t>期末达成2</t>
  </si>
  <si>
    <t>期末达成3</t>
  </si>
  <si>
    <t>期末达成4</t>
  </si>
  <si>
    <t>期末达成5</t>
  </si>
  <si>
    <t>期末达成6</t>
  </si>
  <si>
    <t>期末达成7</t>
  </si>
  <si>
    <t>期末达成8</t>
  </si>
  <si>
    <t>课程、能力达成度评价表</t>
  </si>
  <si>
    <r>
      <rPr>
        <sz val="11"/>
        <color indexed="8"/>
        <rFont val="宋体"/>
        <charset val="134"/>
      </rPr>
      <t>能力达成度分析</t>
    </r>
  </si>
  <si>
    <r>
      <rPr>
        <sz val="11"/>
        <color indexed="8"/>
        <rFont val="宋体"/>
        <charset val="134"/>
      </rPr>
      <t>指标点</t>
    </r>
  </si>
  <si>
    <r>
      <rPr>
        <sz val="11"/>
        <color indexed="8"/>
        <rFont val="宋体"/>
        <charset val="134"/>
      </rPr>
      <t>权重系数</t>
    </r>
  </si>
  <si>
    <r>
      <rPr>
        <sz val="11"/>
        <color indexed="8"/>
        <rFont val="宋体"/>
        <charset val="134"/>
      </rPr>
      <t>平时成绩</t>
    </r>
  </si>
  <si>
    <r>
      <rPr>
        <sz val="11"/>
        <color indexed="8"/>
        <rFont val="宋体"/>
        <charset val="134"/>
      </rPr>
      <t>期末成绩</t>
    </r>
  </si>
  <si>
    <r>
      <rPr>
        <sz val="11"/>
        <color indexed="8"/>
        <rFont val="宋体"/>
        <charset val="134"/>
      </rPr>
      <t>期望值</t>
    </r>
    <r>
      <rPr>
        <sz val="11"/>
        <color indexed="8"/>
        <rFont val="Times New Roman"/>
        <charset val="134"/>
      </rPr>
      <t>(</t>
    </r>
    <r>
      <rPr>
        <sz val="11"/>
        <color indexed="8"/>
        <rFont val="宋体"/>
        <charset val="134"/>
      </rPr>
      <t>总分</t>
    </r>
    <r>
      <rPr>
        <sz val="11"/>
        <color indexed="8"/>
        <rFont val="Times New Roman"/>
        <charset val="134"/>
      </rPr>
      <t>)</t>
    </r>
  </si>
  <si>
    <r>
      <rPr>
        <sz val="11"/>
        <color indexed="8"/>
        <rFont val="宋体"/>
        <charset val="134"/>
      </rPr>
      <t>平均分</t>
    </r>
  </si>
  <si>
    <t>支撑毕业要求</t>
  </si>
  <si>
    <r>
      <rPr>
        <sz val="11"/>
        <color indexed="8"/>
        <rFont val="宋体"/>
        <charset val="134"/>
      </rPr>
      <t>课程对指标点的达成度权重及达成度评价</t>
    </r>
  </si>
  <si>
    <r>
      <rPr>
        <sz val="11"/>
        <color indexed="8"/>
        <rFont val="宋体"/>
        <charset val="134"/>
      </rPr>
      <t>考核总分</t>
    </r>
  </si>
  <si>
    <r>
      <rPr>
        <sz val="11"/>
        <color indexed="8"/>
        <rFont val="宋体"/>
        <charset val="134"/>
      </rPr>
      <t>考核平均分</t>
    </r>
  </si>
  <si>
    <r>
      <rPr>
        <sz val="11"/>
        <color indexed="8"/>
        <rFont val="宋体"/>
        <charset val="134"/>
      </rPr>
      <t>本课程对该指标点达成度评价值</t>
    </r>
  </si>
  <si>
    <r>
      <rPr>
        <sz val="11"/>
        <rFont val="宋体"/>
        <charset val="134"/>
      </rPr>
      <t>课程负责人</t>
    </r>
    <r>
      <rPr>
        <sz val="11"/>
        <rFont val="Times New Roman"/>
        <charset val="134"/>
      </rPr>
      <t>:</t>
    </r>
  </si>
  <si>
    <t xml:space="preserve">                                         </t>
  </si>
  <si>
    <r>
      <rPr>
        <sz val="11"/>
        <rFont val="宋体"/>
        <charset val="134"/>
      </rPr>
      <t>系室负责人</t>
    </r>
    <r>
      <rPr>
        <sz val="11"/>
        <rFont val="Times New Roman"/>
        <charset val="134"/>
      </rPr>
      <t>:</t>
    </r>
  </si>
  <si>
    <r>
      <rPr>
        <sz val="11"/>
        <rFont val="宋体"/>
        <charset val="134"/>
      </rPr>
      <t>教学委员会</t>
    </r>
    <r>
      <rPr>
        <sz val="11"/>
        <rFont val="Times New Roman"/>
        <charset val="134"/>
      </rPr>
      <t>:</t>
    </r>
  </si>
  <si>
    <r>
      <rPr>
        <sz val="11"/>
        <rFont val="宋体"/>
        <charset val="134"/>
      </rPr>
      <t>日期</t>
    </r>
    <r>
      <rPr>
        <sz val="11"/>
        <rFont val="Times New Roman"/>
        <charset val="134"/>
      </rPr>
      <t>:</t>
    </r>
  </si>
  <si>
    <t>序号</t>
  </si>
  <si>
    <t>毕业指标点
课程（学分、课程号、名称）</t>
  </si>
  <si>
    <t>1.工程知识：具有解决空间信息工程问题所需的数学知识，自然科学知识，具有计算机、信息处理等工程基础知识和专业知识，并能够将这些知识应用于解决空间信息领域复杂工程问题。</t>
  </si>
  <si>
    <t>2.问题分析：能够应用数学、自然科学和工程科学的基本原理，识别、表达、并通过文献研究分析空间信息获取、处理、分析及应用中复杂工程问题，以获得有效结论。</t>
  </si>
  <si>
    <t>3.设计/开发解决方案：能够设计针对海洋空间信息系统的设计与开发复杂工程问题的解决方案，设计满足特定需求的空间信息系统，并能够在设计环节中体现创新意识，考虑社会、健康、安全、法律、文化以及环境等因素。</t>
  </si>
  <si>
    <t>4.研究：能够基于科学原理并采用科学方法对空间信息工程问题进行研究，掌握空间信息获取、处理、分析及应用方法，包括设计实验、分析与解释数据、并通过信息综合得到合理有效的结论。</t>
  </si>
  <si>
    <t>5.使用现代工具：能够针对复杂空间信息工程问题，开发、选择与使用恰当的技术、资源、现代工程工具和信息技术工具，包括对复杂工程问题的预测与模拟，并能够理解其局限性。</t>
  </si>
  <si>
    <t>6.工程与社会：能够基于工程相关背景知识进行合理分析，评价海洋空间信息工程实践和复杂工程问题解决方案对社会、健康、安全、法律以及文化的影响，并理解应承担的责任。</t>
  </si>
  <si>
    <t>7.环境和可持续发展：能够理解和评价针对海洋行业空间信息领域的复杂工程问题的具体工程实践对环境、社会可持续发展的影响；</t>
  </si>
  <si>
    <t>8.职业规范：具有人文社会科学素养、社会责任感，能够在工程实践中理解并遵守工程职业道德和规范，履行责任。</t>
  </si>
  <si>
    <t>9.个人和团队：能够在多学科背景下的团队中承担个体、团队成员以及负责人的角色。</t>
  </si>
  <si>
    <t>10.沟通：能够就空间信息工程问题与业界同行及社会公众进行有效沟通和交流，包括撰写报告和设计文稿、陈述发言、清晰表达或回应指令，并具备一定的国际视野，能够在跨文化背景下进行沟通和交流。</t>
  </si>
  <si>
    <t>11.项目管理：理解并掌握空间信息工程管理原理与经济决策方法，并能在多学科环境中应用；具备一定的项目组织和参与项目管理的能力。</t>
  </si>
  <si>
    <t>12.终身学习：具备终身获取和追踪新知识的意识，关注空间信息领域的前沿发展现状和趋势，具有自主学习和适应发展的能力。</t>
  </si>
  <si>
    <t>培养方案</t>
  </si>
  <si>
    <t>1.1(表述)1.1掌握专业相关数学、自然科学、工程科学的基本概念、理论与知识，强化逻辑思维与实验思维能力，并能将其应用于复杂工程问题的恰当表述，为培养计算思维能力奠定基础；</t>
  </si>
  <si>
    <t>1.2(建模)掌握建立和求解空间系统或空间过程数学模型所需的数学、自然科学和工程基础知识，并能将相关知识用于工程问题的建模和求解；</t>
  </si>
  <si>
    <t>1.3(推演和分析)理解专业领域的空间信息领域复杂工程问题，并能综合运用数学、自然科学、工程基础和专业知识等进行问题的推演、分析；</t>
  </si>
  <si>
    <t>1.4(比较与综合)能将专业基础知识及数学模型方法用于诸如海洋领域等复杂工程问题解决方案的比较与综合。</t>
  </si>
  <si>
    <t>2.1(识别和判断)能运用相关科学原理，根据复杂工程的空间信息本质特性，识别和判断空间信息获取、处理、分析及应用等方面的复杂工程问题关键环节；</t>
  </si>
  <si>
    <t>2.2(表达)具有系统观点，能基于相关科学原理和数学模型，正确表达空间信息获取、处理、分析和应用等方面的复杂工程问题；</t>
  </si>
  <si>
    <t>2.3(选择和寻求)能认识到解决问题有多种方案可供选择，在进行系统设计与开发时能够根据外部条件约束，会通过文献研究寻求可替代的解决方案；</t>
  </si>
  <si>
    <t>2.4 (分析与总结) 能够运用基本原理，借助文献研究，分析空间信息获取、处理、分析和应用过程中的影响因素，获得有效结论。</t>
  </si>
  <si>
    <t>3.1 (基本设计)针对海洋空间信息化领域复杂工程问题，能够根据用户需求确定设计目标，掌握工程设计和产品开发全周期、全流程的基本设计/开发方法和技术，了解影响设计目标和技术方案的各种因素；</t>
  </si>
  <si>
    <t>3.2(模块设计)能够针对空间信息工程领域信息获取、传输、处理和应用的特定需求，完成各构成模块的设计，对处理过程能设计合理的算法，以充分发挥系统的性能；</t>
  </si>
  <si>
    <t>3.3(系统设计)针对海洋行业空间信息领域复杂工程问题，能够进行空间信息系统设计，在设计中体现创新意识；</t>
  </si>
  <si>
    <t>3.4 (非技术层面)能够在社会、健康、安全、法律、文化以及环境等制约因素下，从技术、经济角度对设计方案的可行性进行评价。</t>
  </si>
  <si>
    <t>4.1(调研)针对海洋空间信息领域的复杂工程问题，能够基于专业理论，调研和分析复杂工程问题的解决方案；</t>
  </si>
  <si>
    <t>4.2(设计)能够根据空间对象的各类特征和影响因素，选择研究路线，设计可行的实验方案；</t>
  </si>
  <si>
    <t>4.3(实施)能够根据实验方案设计空间信息获取、处理、分析及应用实验系统，采用科学的实验方法安全地开展实验，能够正确采集实验数据；</t>
  </si>
  <si>
    <t>4.4(归纳)能够正确处理实验数据，分析和解释实验结果，通过信息综合得到合理有效的研究结论。</t>
  </si>
  <si>
    <t>5.1(了解和掌握工具)能够了解并掌握空间信息处理工具、开发语言，掌握计算机软件设计与调试的现代工具，并理解其局限性；</t>
  </si>
  <si>
    <t>5.2(分析、计算与设计)选择与使用恰当的空间信息资源、程序设计工具和专业模拟软件，对空间信息领域复杂工程问题进行分析、计算与设计；</t>
  </si>
  <si>
    <t>5.3(选用或开发)针对空间信息领域中的复杂工程问题，能够开发或选用恰当的仿真或设计工具和技术，模拟与预测空间信息领域复杂工程问题的解决方案，并能够分析其局限性。</t>
  </si>
  <si>
    <t>6.1(了解)了解空间信息领域的技术标准体系、产业政策和法律法规，理解不同社会文化对工程活动的影响；</t>
  </si>
  <si>
    <t>6.2(评价)能够合理分析和评价海洋空间信息领域的专业工程实践对社会、健康、安全、法律以及文化的潜在影响，以及这些制约因素对项目实施的影响，能够理解由上述影响所衍生的应承担的责任。</t>
  </si>
  <si>
    <t>7.1(理解)知晓和理解环境保护和可持续发展的理论和内涵；</t>
  </si>
  <si>
    <t>7.2(评价)能够站在环境保护和可持续发展的角度，思考空间信息工程实践的可持续性，评价空间信息系统研发与普及推广过程对环境保护和社会持续发展的影响。</t>
  </si>
  <si>
    <t>8.1(价值观)具备人文社会科学素养，树立和践行社会主义核心价值观，理解个人与社会的关系，了解中国国情，勤朴忠实，明确个人作为社会主义事业建设者和接班人所肩负的责任和使命；</t>
  </si>
  <si>
    <t>8.2(职业道德和规范): 理解诚实公正、诚信守则的工程职业道德和规范，并能在工程实践中自觉遵守；</t>
  </si>
  <si>
    <t>8.3(社会责任): 理解数据及软件工程师对公众的安全、健康和福祉，以及环境保护的社会责任，能够在空间信息工程实践中自觉履行责任。</t>
  </si>
  <si>
    <t>9.1(多学科合作）具有团队合作精神，能够提出自己的想法并倾听其他成员的意见和建议，知晓如何在空间信息工程实践中与其他学科的成员有效沟通，合作共事；</t>
  </si>
  <si>
    <t>9.2(独立或合作工作）熟悉多学科项目团队在不同环节的角色与任务要求，能在多学科团队中独立或合作开展工作，工作能力得到充分体现；</t>
  </si>
  <si>
    <t>9.3(组织协调工作)能在多学科背景下，组织、协调和指挥团队开展工作，最大程度发挥团队作用。</t>
  </si>
  <si>
    <t>10.1(基本沟通)能就空间信息相关的技术或应用问题，以口头、文稿、图表等方式，准确表达自己的观点，回应质疑，理解与业界同行和社会公众交流的差异性；</t>
  </si>
  <si>
    <t>10.2(理解、尊重)了解专业领域的国际发展趋势、研究热点，在从事专业活动、技术推广时，理解和尊重世界不同文化的差异性和多样性；</t>
  </si>
  <si>
    <t>10.3 (跨文化沟通)能够阅读并理解外文科技文献，了解专业领域的国际发展状况，在跨文化背景下进行沟通和交流。</t>
  </si>
  <si>
    <t>11.1(掌握)掌握空间信息工程基本的管理方法和经济决策方法（如项目进度、资源配置等）；</t>
  </si>
  <si>
    <t>11.2(理解)了解空间信息工程项目和产品设计开发全周期、全流程的商业模式和成本构成，对于如海洋行业项目，能考虑到因数据安全、恶劣自然环境等因素导致的成本急剧上升；</t>
  </si>
  <si>
    <t>11.3(运用)在多学科工程项目设计、开发与实施过程中，能够把工程管理原理与经济决策方法进行综合应用，知晓在互联网模式下使用创新模式进行效益分析。</t>
  </si>
  <si>
    <t>12.1 (学习意识)关注空间信息领域的前沿发展现状和趋势，理解技术应用发展和技术进步对于知识和能力的影响和要求，对于自主学习和终身学习的必要性有正确的认识；</t>
  </si>
  <si>
    <t>12.2 (行动能力)具有自主学习的能力，凝练综述和提出问题的能力，能够适应和理解空间信息领域新技术的发展。</t>
  </si>
  <si>
    <t>1103411、1103412</t>
  </si>
  <si>
    <t>中国近代史纲要(18版）</t>
  </si>
  <si>
    <t>毛泽东思想和中国特色社会主义理论体系概论(18版）</t>
  </si>
  <si>
    <t>军事理论与训练(18版）</t>
  </si>
  <si>
    <t>马克思主义基本原理概论(18版）</t>
  </si>
  <si>
    <t>计算机应用基础(18版）</t>
  </si>
  <si>
    <t>思想道德修养与法律基础(18版）</t>
  </si>
  <si>
    <t>形势与政策（1-6）(18版）</t>
  </si>
  <si>
    <t>职业发展与就业指导(18版）</t>
  </si>
  <si>
    <t>心理健康教育(18版）</t>
  </si>
  <si>
    <t>社会实践(18版）</t>
  </si>
  <si>
    <t>读书活动(18版）</t>
  </si>
  <si>
    <t>创新创业教育(18版）</t>
  </si>
  <si>
    <t>大学体育与健康（1-4）(18版）</t>
  </si>
  <si>
    <t>英语（1-4）(18版）</t>
  </si>
  <si>
    <t>高等数学（一）(18版）</t>
  </si>
  <si>
    <t>程序设计基础 I(18版）</t>
  </si>
  <si>
    <t>高等数学（二）(18版）</t>
  </si>
  <si>
    <t>程序设计基础 II(18版）</t>
  </si>
  <si>
    <t>大学物理 C(18版）</t>
  </si>
  <si>
    <t>线性代数(18版）</t>
  </si>
  <si>
    <t>海洋空间信息工程概论(18版）</t>
  </si>
  <si>
    <t>离散数学(18版）</t>
  </si>
  <si>
    <t>数据结构(18版）</t>
  </si>
  <si>
    <t>概率论(18版）</t>
  </si>
  <si>
    <t>JAVA 框架编程(18版）</t>
  </si>
  <si>
    <t>统计学基础(18版）</t>
  </si>
  <si>
    <t>计算机组成原理(18版）</t>
  </si>
  <si>
    <t>数据库原理(18版）</t>
  </si>
  <si>
    <t>操作系统原理(18版）</t>
  </si>
  <si>
    <t>计算机网络(18版）</t>
  </si>
  <si>
    <t>空间数据获取技术基础(18版）</t>
  </si>
  <si>
    <t>空间建模与分析(18版）</t>
  </si>
  <si>
    <t>数字信号处理(18版）</t>
  </si>
  <si>
    <t>空间信息管理与服务(18版）</t>
  </si>
  <si>
    <t>海洋遥感影像分析(18版）</t>
  </si>
  <si>
    <t>海洋大数据技术与工程应用(18版）</t>
  </si>
  <si>
    <t>软件工程导论(18版）</t>
  </si>
  <si>
    <t>虚拟现实(18版）</t>
  </si>
  <si>
    <t>数学建模(18版）</t>
  </si>
  <si>
    <t>物联网概论(18版）</t>
  </si>
  <si>
    <t>软件工程导论课程设计(18版）</t>
  </si>
  <si>
    <t>程序设计基础Ⅰ课程设计(18版）</t>
  </si>
  <si>
    <t>大学物理实验(18版）</t>
  </si>
  <si>
    <t>程序设计基础Ⅱ实践(18版）</t>
  </si>
  <si>
    <t>数据结构课程设计(18版）</t>
  </si>
  <si>
    <t>JAVA框架编程课程设计(18版）</t>
  </si>
  <si>
    <t>数据库原理课程设计(18版）</t>
  </si>
  <si>
    <t>操作系统原理课程设计(18版）</t>
  </si>
  <si>
    <t>空间数据获取技术基础课程设计(18版）</t>
  </si>
  <si>
    <t>计算机综合实践与案例(18版）</t>
  </si>
  <si>
    <t>空间建模与分析课程设计(18版）</t>
  </si>
  <si>
    <t>计算机网络课程设计(18版）</t>
  </si>
  <si>
    <t>数字信号处理课程设计(18版）</t>
  </si>
  <si>
    <t>空间信息管理与服务课程设计(18版）</t>
  </si>
  <si>
    <t>海洋遥感影像分析课程设计(18版）</t>
  </si>
  <si>
    <t>海洋大数据技术与工程应用课程设计(18版）</t>
  </si>
  <si>
    <t>专业大型综合实验(18版）</t>
  </si>
  <si>
    <t>综合实习(18版）</t>
  </si>
  <si>
    <t>毕业论文(18版）</t>
  </si>
  <si>
    <t>课程名</t>
  </si>
  <si>
    <t>课程号</t>
  </si>
  <si>
    <t>指标点数1</t>
  </si>
  <si>
    <t>指标点数2</t>
  </si>
  <si>
    <t>指标点数3</t>
  </si>
  <si>
    <t>指标点数4</t>
  </si>
  <si>
    <t>指标点数5</t>
  </si>
  <si>
    <t>指标点数6</t>
  </si>
  <si>
    <t>指标点数7</t>
  </si>
  <si>
    <t>指标点对应权重 1</t>
  </si>
  <si>
    <t>指标点对应权重 2</t>
  </si>
  <si>
    <t>指标点对应权重 3</t>
  </si>
  <si>
    <t>指标点对应权重 4</t>
  </si>
  <si>
    <t>指标点对应权重 5</t>
  </si>
  <si>
    <t>指标点对应权重 6</t>
  </si>
  <si>
    <t>指标点对应权重 7</t>
  </si>
  <si>
    <t>学分</t>
  </si>
  <si>
    <t>学时</t>
  </si>
  <si>
    <t>讲授</t>
  </si>
  <si>
    <t>实验</t>
  </si>
  <si>
    <t>上机</t>
  </si>
  <si>
    <t>课程性质</t>
  </si>
  <si>
    <t>模板连接</t>
  </si>
  <si>
    <t>马克思主义基本原理概论（18版）</t>
  </si>
  <si>
    <t>下拉选择</t>
  </si>
  <si>
    <t>18版不需要写</t>
  </si>
  <si>
    <t>毛泽东思想和中国特色社会主义理论体系概论（18版）</t>
  </si>
  <si>
    <t>思想道德修养与法律基础（18版）</t>
  </si>
  <si>
    <t>中国近代史纲要（18版）</t>
  </si>
  <si>
    <t>形势与政策（18版）</t>
  </si>
  <si>
    <t>职业发展与就业指导（18版）</t>
  </si>
  <si>
    <t>心理健康教育（18版）</t>
  </si>
  <si>
    <t>社会实践（18版）</t>
  </si>
  <si>
    <t>读书活动（18版）</t>
  </si>
  <si>
    <t>军事理论与训练（18版）</t>
  </si>
  <si>
    <t>大学体育与健康（1-4）（18版）</t>
  </si>
  <si>
    <t>创新创业教育（18版）</t>
  </si>
  <si>
    <t>大学英语（18版）</t>
  </si>
  <si>
    <t>计算机应用基础（18版）</t>
  </si>
  <si>
    <t>新一代信息技术（18版更）</t>
  </si>
  <si>
    <t>2022/2/28更新：因为原课程在19中改变,指标点权重不变</t>
  </si>
  <si>
    <t>高等数学(一)（18版）</t>
  </si>
  <si>
    <t>高等数学(二)（18版）</t>
  </si>
  <si>
    <t>概率论与数理统计（18版）</t>
  </si>
  <si>
    <t>概率论（18版更）</t>
  </si>
  <si>
    <t>2022/2/28更新：因为原课程在19中改变，但是两门课总共的指标点数与原来一样。权重全是0.1</t>
  </si>
  <si>
    <t>统计学基础（18版更）</t>
  </si>
  <si>
    <t>2022/2/28更新：因为原课程在19中改变</t>
  </si>
  <si>
    <t>线性代数（18版）</t>
  </si>
  <si>
    <t>大学物理C（18版）</t>
  </si>
  <si>
    <t>离散数学（18版）</t>
  </si>
  <si>
    <t>数据结构（18版）</t>
  </si>
  <si>
    <t>程序设计基础I（18版）</t>
  </si>
  <si>
    <t>程序设计基础II（18版）</t>
  </si>
  <si>
    <t>JAVA架构编程（18版）</t>
  </si>
  <si>
    <t>计算机组成原理（18版）</t>
  </si>
  <si>
    <t>数据库原理（18版）</t>
  </si>
  <si>
    <t>操作系统原理（18版）</t>
  </si>
  <si>
    <t>计算机网络（18版）</t>
  </si>
  <si>
    <t>海洋空间信息工程概论（18版）</t>
  </si>
  <si>
    <t>空间建模与分析（18版）</t>
  </si>
  <si>
    <t>海洋遥感影像分析（18版）</t>
  </si>
  <si>
    <t>海洋大数据技术与应用（18版）</t>
  </si>
  <si>
    <t>数字信号处理（18版）</t>
  </si>
  <si>
    <t>虚拟现实（18版）</t>
  </si>
  <si>
    <t>软件工程导论（18版）</t>
  </si>
  <si>
    <t>物联网概论（18版）</t>
  </si>
  <si>
    <t>数学建模（18版）</t>
  </si>
  <si>
    <t>空间信息管理与服务（18版）</t>
  </si>
  <si>
    <t>空间数据获取技术基础（18版）</t>
  </si>
  <si>
    <t>程序设计基础I课程设计（18版）</t>
  </si>
  <si>
    <t>大学物理实验（18版）</t>
  </si>
  <si>
    <t>程序设计基础II课程设计（18版）</t>
  </si>
  <si>
    <t>JAVA架构编程课程设计（18版）</t>
  </si>
  <si>
    <t>数据结构课程设计（18版）</t>
  </si>
  <si>
    <t>数据库原理课程设计（18版）</t>
  </si>
  <si>
    <t>操作系统原理课程设计（18版）</t>
  </si>
  <si>
    <t>计算机网络课程设计（18版）</t>
  </si>
  <si>
    <t>空间信息管理与服务课程设计（18版）</t>
  </si>
  <si>
    <t>空间建模与分析课程设计（18版）</t>
  </si>
  <si>
    <t>海洋遥感影像分析课程设计（18版）</t>
  </si>
  <si>
    <t>海洋大数据技术与应用课程设计（18版）</t>
  </si>
  <si>
    <t>数字信号处理课程设计（18版）</t>
  </si>
  <si>
    <t>软件工程导论课程设计（18版）</t>
  </si>
  <si>
    <t>空间数据获取技术基础课程设计（18版）</t>
  </si>
  <si>
    <t>计算机综合实践与案例（18版）</t>
  </si>
  <si>
    <t>专业大型综合实践（18版）</t>
  </si>
  <si>
    <t>综合实习（18版）</t>
  </si>
  <si>
    <t>毕业设计（论文）（18版）</t>
  </si>
  <si>
    <t>马克思主义基本原理概论(22版)</t>
  </si>
  <si>
    <t>https://xxxy.shou.edu.cn/_upload/article/files/17/02/14bf9aa1458a9637f8e9baefa566/4b5a5553-2f31-4a84-ae69-9b3ae6ee6e7b.docx</t>
  </si>
  <si>
    <t>毛泽东思想和中国特色社会主义理论体系概论(22版)</t>
  </si>
  <si>
    <t>思想道德修养与法律基础(22版)</t>
  </si>
  <si>
    <t>中国近代史纲要(22版)</t>
  </si>
  <si>
    <t>形势与政策(1-6)(22版)</t>
  </si>
  <si>
    <t>8409960-5</t>
  </si>
  <si>
    <t>职业发展与就业指导(22版)</t>
  </si>
  <si>
    <t>心理健康教育(22版)</t>
  </si>
  <si>
    <t>社会实践(22版)</t>
  </si>
  <si>
    <t>读书活动(22版)</t>
  </si>
  <si>
    <t>军事理论与训练(22版)</t>
  </si>
  <si>
    <t>大学体育与健康（1-4）(22版)</t>
  </si>
  <si>
    <t>8909928-31</t>
  </si>
  <si>
    <t>创新创业教育(22版)</t>
  </si>
  <si>
    <t>大学英语(1-4)(22版)</t>
  </si>
  <si>
    <t>74050001-04</t>
  </si>
  <si>
    <t>人工智能名师讲坛(22版)</t>
  </si>
  <si>
    <t>https://xxxy.shou.edu.cn/_upload/article/files/17/02/14bf9aa1458a9637f8e9baefa566/712ff1d4-7df2-44db-a617-aab9ddedbe97.docx</t>
  </si>
  <si>
    <t>人工智能导论(22版)</t>
  </si>
  <si>
    <t>工程项目管理概论(22版)</t>
  </si>
  <si>
    <t>高等数学(一、二)(22版)</t>
  </si>
  <si>
    <r>
      <rPr>
        <sz val="10"/>
        <color rgb="FF000000"/>
        <rFont val="Times New Roman"/>
        <charset val="134"/>
      </rPr>
      <t>1101450</t>
    </r>
    <r>
      <rPr>
        <sz val="10"/>
        <color rgb="FF000000"/>
        <rFont val="宋体"/>
        <charset val="134"/>
      </rPr>
      <t>、</t>
    </r>
    <r>
      <rPr>
        <sz val="10"/>
        <color rgb="FF000000"/>
        <rFont val="Times New Roman"/>
        <charset val="134"/>
      </rPr>
      <t>60</t>
    </r>
  </si>
  <si>
    <t>https://xxxy.shou.edu.cn/_upload/article/files/17/02/14bf9aa1458a9637f8e9baefa566/cbbefe08-1643-42c7-bb34-ec27d701dd15.docx</t>
  </si>
  <si>
    <t>概率论与数理统计(22版)</t>
  </si>
  <si>
    <t>线性代数A(22版)</t>
  </si>
  <si>
    <t>大学物理B(22版)</t>
  </si>
  <si>
    <t>离散数学(22版)</t>
  </si>
  <si>
    <t>数据结构与算法(22版)</t>
  </si>
  <si>
    <t>程序设计基础I(22版)</t>
  </si>
  <si>
    <t>程序设计基础II(22版)</t>
  </si>
  <si>
    <t>JAVA框架编程(22版)</t>
  </si>
  <si>
    <t>计算机组成原理(22版)</t>
  </si>
  <si>
    <t>数据库原理(22版)</t>
  </si>
  <si>
    <t>操作系统原理(22版)</t>
  </si>
  <si>
    <t>计算机网络(22版)</t>
  </si>
  <si>
    <t>海洋空间信息工程概论(22版)</t>
  </si>
  <si>
    <t>空间建模与分析(22版)</t>
  </si>
  <si>
    <t>https://xxxy.shou.edu.cn/_upload/article/files/17/02/14bf9aa1458a9637f8e9baefa566/52755c32-88d7-4818-b680-58b1b839ae96.docx</t>
  </si>
  <si>
    <t>海洋遥感影像分析(22版)</t>
  </si>
  <si>
    <t>海洋大数据技术与工程应用(22版)</t>
  </si>
  <si>
    <t>数字信号处理(22版)</t>
  </si>
  <si>
    <t>软件工程导论(22版)</t>
  </si>
  <si>
    <t>物联网概论(22版)</t>
  </si>
  <si>
    <t>数学建模(22版)</t>
  </si>
  <si>
    <t>海洋空间信息管理与服务(22版)</t>
  </si>
  <si>
    <t>空间数据获取技术基础(22版)</t>
  </si>
  <si>
    <t>程序设计基础I课程设计(22版)</t>
  </si>
  <si>
    <t>https://xxxy.shou.edu.cn/_upload/article/files/17/02/14bf9aa1458a9637f8e9baefa566/b7f1624a-2e35-430e-8396-0f1abc958f53.docx</t>
  </si>
  <si>
    <t>大学物理实验(22版)</t>
  </si>
  <si>
    <t>https://xxxy.shou.edu.cn/_upload/article/files/17/02/14bf9aa1458a9637f8e9baefa566/0dbcae10-f4e7-445d-8b97-a5936be98161.docx</t>
  </si>
  <si>
    <t>程序设计基础II实践(22版)</t>
  </si>
  <si>
    <t>22版又误写成实践</t>
  </si>
  <si>
    <t>JAVA框架编程课程设计(22版)</t>
  </si>
  <si>
    <t>数据结构与算法课程设计(22版)</t>
  </si>
  <si>
    <t>数据库原理课程设计(22版)</t>
  </si>
  <si>
    <t>操作系统原理课程设计(22版)</t>
  </si>
  <si>
    <t>计算机网络课程设计(22版)</t>
  </si>
  <si>
    <t>海洋空间信息管理与服务课程设计(22版)</t>
  </si>
  <si>
    <t>空间建模与分析课程设计(22版)</t>
  </si>
  <si>
    <t>海洋遥感影像分析课程设计(22版)</t>
  </si>
  <si>
    <t>海洋大数据技术与工程应用课程设计(22版)</t>
  </si>
  <si>
    <t>软件工程导论课程设计(22版)</t>
  </si>
  <si>
    <t>空间数据获取技术基础课程设计(22版)</t>
  </si>
  <si>
    <t>计算机综合实践与案例(22版)</t>
  </si>
  <si>
    <t>专业大型综合实验(22版)</t>
  </si>
  <si>
    <t>课程叫实验，矩阵写错了写成了实践</t>
  </si>
  <si>
    <t>综合实习(22版)</t>
  </si>
  <si>
    <t>13周</t>
  </si>
  <si>
    <t>毕业设计（论文）(22版)</t>
  </si>
  <si>
    <t>16周</t>
  </si>
  <si>
    <t>https://xxxy.shou.edu.cn/_upload/article/files/17/02/14bf9aa1458a9637f8e9baefa566/f6572bfa-a736-47e6-8080-46b47cea1ce6.doc</t>
  </si>
  <si>
    <t>习近平新时代中国特色社会主义思想概论(22版)</t>
  </si>
  <si>
    <t xml:space="preserve"> 这个在22版的矩阵中漏了</t>
  </si>
  <si>
    <t>1.1(表述)掌握专业相关数学、自然科学、工程科学的基本概念、理论与知识，强化逻辑思维与实验思维能力，并能将其应用于复杂工程问题的恰当表述，为培养计算思维能力奠定基础；</t>
  </si>
  <si>
    <t>16版</t>
  </si>
  <si>
    <t>2.4(分析与总结)能够运用基本原理，借助文献研究，分析空间信息获取、处理、分析和应用过程中的影响因素，获得有效结论。</t>
  </si>
  <si>
    <t>8.1(价值观)能够树立人文社会科学素养，践行社会主义核心价值观，理解个人与社会的关系，了解中国国情，勤朴忠实，明确个人作为社会主义事业建设者和接班人所肩负的责任和使命；</t>
  </si>
  <si>
    <t>9.1(多学科合作)能够提出自己的想法并倾听其他成员的意见和建议，具有团队合作精神，知晓如何在空间信息工程实践中与其他学科的成员有效沟通，合作共事；</t>
  </si>
  <si>
    <t>9.2 (独立或合作工作)熟悉多学科项目团队在不同环节的角色与任务要求，能在多学科团队中独立或合作开展工作，工作能力得到充分体现；</t>
  </si>
  <si>
    <t>9.3 (组织协调工作)能在多学科背景下，组织、协调和指挥团队开展工作，最大程度发挥团队作用。</t>
  </si>
  <si>
    <t>10.3(跨文化沟通)能够阅读并理解外文科技文献，了解专业领域的国际发展状况，在跨文化背景下进行沟通和交流。</t>
  </si>
  <si>
    <t>11.1(掌握)能够掌握运用空间信息工程基本的管理方法和经济决策方法（如项目进度、资源配置等）；</t>
  </si>
  <si>
    <t>1.1 (表述)能够利用所需的数学、自然科学、工程基础知识识别和表述信息领域复杂工程问题，强化空间思维与实验思维能力；</t>
  </si>
  <si>
    <t>18版</t>
  </si>
  <si>
    <t>1.2 (建模)能够利用所需的数学、自然科学和工程基础知识，基于空间思维建立和求解系统、过程的数学模型，并能将相关知识用于工程问题的建模和求解；</t>
  </si>
  <si>
    <t>1.3(推演和分析)能够理解专业领域的海洋空间信息领域复杂工程问题，并能综合运用数学、自然科学、工程基础和专业知识等进行问题的推演、分析；</t>
  </si>
  <si>
    <t>2.1(识别和判断)能运用相关科学原理，识别和判断复杂工程的空间信息本质特性、空间信息方面复杂工程问题关键环节；</t>
  </si>
  <si>
    <t>2.2(表达)能基于相关科学原理和数学模型，从系统的观点正确表达空间信息获取、处理、分析和应用等方面的复杂工程问题；</t>
  </si>
  <si>
    <t>2.3(选择和寻求)能认识到解决问题有多种方案可供选择，在进行空间信息工程设计与开发时能够根据外部条件约束，会通过文献研究寻求可替代的解决方案；</t>
  </si>
  <si>
    <t>2.4(分析与总结) 能够运用基本原理，借助文献研究，分析空间信息获取、处理、分析和应用过程中的影响因素，获得有效结论。</t>
  </si>
  <si>
    <t>3.1(基本设计)针对空间信息化领域复杂工程问题，能够根据用户需求确定设计目标，掌握工程设计和产品开发全周期、全流程的基本设计/开发方法和技术，了解影响设计目标和技术方案的各种因素；</t>
  </si>
  <si>
    <t>3.2(模块设计)能够针对空间信息工程领域信息获取、传输、处理和应用的特定需求，完成各构成模块的设计，对处理流程能设计合理的算法，以充分发挥模块的性能；</t>
  </si>
  <si>
    <t>3.3(系统设计)针对海洋空间信息领域复杂工程问题，能够进行空间信息系统及产品设计，在设计中体现创新意识；</t>
  </si>
  <si>
    <t>3.4(非技术层面)能够在社会、健康、安全、法律、文化以及环境等制约因素下，从技术、经济角度对设计方案的可行性进行评价。</t>
  </si>
  <si>
    <t>4.1(调研)针对空间信息领域的复杂工程问题，能够理解空间信息本质并基于专业理论，调研和分析复杂工程问题的解决方案；</t>
  </si>
  <si>
    <t>4.2(设计)能够根据空间信息的各类特征和影响因素，选择研究路线，设计可行的实验方案；</t>
  </si>
  <si>
    <t>5.1(了解和掌握工具)能够在传统工程实验方法与工具基础上，了解并掌握空间信息处理工具、开发语言，掌握计算机软件设计与调试的现代工具，并理解其局限性；</t>
  </si>
  <si>
    <t>5.2(分析、计算与设计)能够选择与使用恰当的空间信息资源、程序设计工具和专业模拟软件，对空间信息领域复杂工程问题进行分析、计算与设计；</t>
  </si>
  <si>
    <t>6.1(了解)能够了解空间信息领域的技术标准体系、产业政策和法律法规，理解不同国家语言、文字、社会文化与经济活动对工程活动的影响；</t>
  </si>
  <si>
    <t>7.1(理解)能够理解国内外行业环境保护和可持续发展的政策趋势，以及与空间信息工程实践相关的理论、内涵、标准、规范；</t>
  </si>
  <si>
    <t>7.2(评价)能够站在环境保护和可持续发展的角度，思考空间信息工程实践的可持续性，评价海洋空间信息工程研发与普及推广过程对环境保护和社会持续发展的影响。</t>
  </si>
  <si>
    <t>8.2(职业道德和规范): 能够理解诚实公正、诚信守则的工程职业道德和规范，并能在空间信息工程实践中自觉遵守；</t>
  </si>
  <si>
    <t>8.3(社会责任): 能理解空间信息技术工程师对公众的安全、健康和福祉，以及环境保护的社会责任，能够在空间信息工程实践中自觉履行责任。</t>
  </si>
  <si>
    <t>9.1(多学科合作)能够提出自己的想法并倾听其他成员的意见和建议，具有团队合作精神，能够在空间信息工程实践中与其他学科的成员有效沟通，合作共事；</t>
  </si>
  <si>
    <t>9.2(独立或合作工作)能够根据传统工程领域及空间信息工程开发实施环节中多学科项目团队在不同环节的角色与任务要求，在多学科团队中独立或合作开展工作，工作能力得到充分体现；</t>
  </si>
  <si>
    <t>10.2(理解、尊重)能够根据专业领域的国际发展趋势、研究热点，在从事专业活动、技术推广时，理解和尊重世界不同文化的差异性和多样性；</t>
  </si>
  <si>
    <t>11.1(掌握)能够掌握空间信息工程基本的管理方法和经济决策方法（如项目进度、资源配置等）；</t>
  </si>
  <si>
    <t>11.2(理解)能够理解空间信息工程项目和产品设计开发全周期、全流程的商业模式和成本构成，对于如海洋行业项目，能考虑到因数据安全、恶劣自然环境等因素导致的成本急剧上升；</t>
  </si>
  <si>
    <t>11.3(运用)在多学科空间信息工程项目设计、开发与实施过程中，能够把工程管理原理与经济决策方法进行综合应用，知晓在互联网模式下使用创新模式分摊系统成本。</t>
  </si>
  <si>
    <t>12.1(学习意识)能够根据空间信息领域的前沿发展现状和趋势，理解技术应用发展和技术进步对于知识和能力的影响和要求，树立正确的学习观念，拥有健康体魄，能够正确认识自主学习和终身学习的必要性；</t>
  </si>
  <si>
    <t>12.2(行动能力)能正确理解本专业技术发展规律，并了解其发展历史中重要阶段及重要突破形成的动因，并用之于指导自主学习，具有自主学习新专业知识的能力，包括对技术问题的理解、归纳总结及提出有见地问题的能力。</t>
  </si>
  <si>
    <t>1.1 (表述)掌握空间信息复杂工程问题所需的数学、自然科学、工程基础知识，并能将相关知识用于工程问题的表述；</t>
  </si>
  <si>
    <t>22版</t>
  </si>
  <si>
    <t>1.3 (推演和分析)理解专业领域及空间信息领域复杂工程问题，并能综合运用数学、自然科学、工程基础和专业知识等进行问题的推演、分析；</t>
  </si>
  <si>
    <t>1.4(比较与综合)能将专业基础知识及数学模型方法用于诸如空间信息复杂工程问题解决方案的比较与综合。</t>
  </si>
  <si>
    <t>3.1(基本设计)针对空间信息复杂工程问题，能够根据用户需求确定设计目标，掌握工程设计和产品开发全周期、全流程的基本设计/开发方法和技术，了解影响设计目标和技术方案的各种因素；</t>
  </si>
  <si>
    <t>3.2(模块设计)能够针对空间信息领域信息获取、传输、处理和应用的特定需求，完成各构成模块的设计，对处理流程能设计合理的算法，以充分发挥模块的性能；</t>
  </si>
  <si>
    <t>3.3(系统设计)针对海洋空间信息复杂工程问题，能够进行空间信息系统及产品设计，在设计中体现创新意识；</t>
  </si>
  <si>
    <t>4.1(调研)针对空间信息复杂工程问题，能够基于专业理论，调研和分析复杂工程问题的解决方案；</t>
  </si>
  <si>
    <t>5.2(分析、计算与设计)选择与使用恰当的信息资源、程序设计工具和专业模拟软件，对空间信息复杂工程问题进行分析、计算与设计；</t>
  </si>
  <si>
    <t>6.2 (评价)能够合理分析和评价涉海空间信息领域的工程实践对社会、健康、安全、法律以及文化的潜在影响，以及这些制约因素对项目实施的影响，能够理解由上述影响所衍生的应承担的责任。</t>
  </si>
  <si>
    <t>7.2 (评价)能够站在环境保护和可持续发展的角度，思考空间信息工程实践的可持续性，评价海洋空间信息复杂工程问题的具体实践对环境保护和社会持续发展的影响。</t>
  </si>
  <si>
    <t>9.2(独立或合作工作)熟悉空间信息工程实践中多学科项目团队在不同环节的角色与任务要求，能在多学科团队中独立或合作开展工作，工作能力得到充分体现；</t>
  </si>
  <si>
    <t>10.1(基本沟通)能就空间信息复杂工程问题相关的技术或应用问题，以口头、文稿、图表等方式，准确表达自己的观点，回应质疑，理解与业界同行和社会公众交流的差异性；</t>
  </si>
  <si>
    <t>学生总人数</t>
  </si>
  <si>
    <t>各题总分</t>
  </si>
  <si>
    <t>各题平均分</t>
  </si>
  <si>
    <t>课程目标支撑</t>
  </si>
  <si>
    <t>总分</t>
  </si>
  <si>
    <t>试题中各小题的分析</t>
  </si>
  <si>
    <t>难度</t>
  </si>
  <si>
    <t>区分度</t>
  </si>
  <si>
    <t>方差</t>
  </si>
  <si>
    <t>试题分析</t>
  </si>
  <si>
    <t>信度</t>
  </si>
  <si>
    <t>效度</t>
  </si>
  <si>
    <t>偏态值</t>
  </si>
  <si>
    <t>试题分析指标点说明</t>
  </si>
  <si>
    <t>指标点</t>
  </si>
  <si>
    <t>说明</t>
  </si>
  <si>
    <t>试题的难易程度；难度系数越趋近于0，难度就越小；难度系数越趋近于1，难度就越大；对于在校生的学业成绩考核，一般都要求绝大部分同学的总成绩在60分以上，所以在进行试卷分析时应该根据考核目标对难度系数的适合区间进行重新划分。对于学业成绩考核，适当的难度系数应该是0.2左右（对应的平均成绩是80分），大于0.3（对应的平均成绩在70分以下）则偏难，小于0.15则难度过低（对应的平均分为85分以上）</t>
  </si>
  <si>
    <r>
      <rPr>
        <sz val="10"/>
        <color indexed="8"/>
        <rFont val="等线"/>
        <charset val="134"/>
      </rPr>
      <t>试题对学生实际水平的区分程度或鉴别能力。区分度</t>
    </r>
    <r>
      <rPr>
        <sz val="10"/>
        <color indexed="8"/>
        <rFont val="Times New Roman"/>
        <charset val="134"/>
      </rPr>
      <t>(di)</t>
    </r>
    <r>
      <rPr>
        <sz val="10"/>
        <color indexed="8"/>
        <rFont val="等线"/>
        <charset val="134"/>
      </rPr>
      <t>高的试题能对不同知识水平和能力的学生加以区分，使能力高的学生得高分，能力低的学生得低分；区分度低的试题则不能对学生的能力进行很好的鉴别，使水平高和水平低的</t>
    </r>
    <r>
      <rPr>
        <sz val="10"/>
        <color indexed="8"/>
        <rFont val="Times New Roman"/>
        <charset val="134"/>
      </rPr>
      <t xml:space="preserve"> </t>
    </r>
    <r>
      <rPr>
        <sz val="10"/>
        <color indexed="8"/>
        <rFont val="等线"/>
        <charset val="134"/>
      </rPr>
      <t>学生得分相差不大或没有规律可循。一般认为，</t>
    </r>
    <r>
      <rPr>
        <sz val="10"/>
        <color indexed="8"/>
        <rFont val="Times New Roman"/>
        <charset val="134"/>
      </rPr>
      <t xml:space="preserve">di &gt;0.4 </t>
    </r>
    <r>
      <rPr>
        <sz val="10"/>
        <color indexed="8"/>
        <rFont val="等线"/>
        <charset val="134"/>
      </rPr>
      <t>的试题区分度为</t>
    </r>
    <r>
      <rPr>
        <sz val="10"/>
        <color indexed="8"/>
        <rFont val="Times New Roman"/>
        <charset val="134"/>
      </rPr>
      <t>“</t>
    </r>
    <r>
      <rPr>
        <sz val="10"/>
        <color indexed="8"/>
        <rFont val="等线"/>
        <charset val="134"/>
      </rPr>
      <t>优</t>
    </r>
    <r>
      <rPr>
        <sz val="10"/>
        <color indexed="8"/>
        <rFont val="Times New Roman"/>
        <charset val="134"/>
      </rPr>
      <t xml:space="preserve">”;0.3 </t>
    </r>
    <r>
      <rPr>
        <sz val="10"/>
        <color indexed="8"/>
        <rFont val="等线"/>
        <charset val="134"/>
      </rPr>
      <t>≤</t>
    </r>
    <r>
      <rPr>
        <sz val="10"/>
        <color indexed="8"/>
        <rFont val="Times New Roman"/>
        <charset val="134"/>
      </rPr>
      <t xml:space="preserve"> di </t>
    </r>
    <r>
      <rPr>
        <sz val="10"/>
        <color indexed="8"/>
        <rFont val="等线"/>
        <charset val="134"/>
      </rPr>
      <t>≤</t>
    </r>
    <r>
      <rPr>
        <sz val="10"/>
        <color indexed="8"/>
        <rFont val="Times New Roman"/>
        <charset val="134"/>
      </rPr>
      <t xml:space="preserve"> 0.4 </t>
    </r>
    <r>
      <rPr>
        <sz val="10"/>
        <color indexed="8"/>
        <rFont val="等线"/>
        <charset val="134"/>
      </rPr>
      <t>的试题区分度为</t>
    </r>
    <r>
      <rPr>
        <sz val="10"/>
        <color indexed="8"/>
        <rFont val="Times New Roman"/>
        <charset val="134"/>
      </rPr>
      <t>“</t>
    </r>
    <r>
      <rPr>
        <sz val="10"/>
        <color indexed="8"/>
        <rFont val="等线"/>
        <charset val="134"/>
      </rPr>
      <t>良</t>
    </r>
    <r>
      <rPr>
        <sz val="10"/>
        <color indexed="8"/>
        <rFont val="Times New Roman"/>
        <charset val="134"/>
      </rPr>
      <t xml:space="preserve">”; 0.2 </t>
    </r>
    <r>
      <rPr>
        <sz val="10"/>
        <color indexed="8"/>
        <rFont val="等线"/>
        <charset val="134"/>
      </rPr>
      <t>≤</t>
    </r>
    <r>
      <rPr>
        <sz val="10"/>
        <color indexed="8"/>
        <rFont val="Times New Roman"/>
        <charset val="134"/>
      </rPr>
      <t>di</t>
    </r>
    <r>
      <rPr>
        <sz val="10"/>
        <color indexed="8"/>
        <rFont val="等线"/>
        <charset val="134"/>
      </rPr>
      <t>≤</t>
    </r>
    <r>
      <rPr>
        <sz val="10"/>
        <color indexed="8"/>
        <rFont val="Times New Roman"/>
        <charset val="134"/>
      </rPr>
      <t xml:space="preserve"> 0.3 </t>
    </r>
    <r>
      <rPr>
        <sz val="10"/>
        <color indexed="8"/>
        <rFont val="等线"/>
        <charset val="134"/>
      </rPr>
      <t>的试题区分度为</t>
    </r>
    <r>
      <rPr>
        <sz val="10"/>
        <color indexed="8"/>
        <rFont val="Times New Roman"/>
        <charset val="134"/>
      </rPr>
      <t>“</t>
    </r>
    <r>
      <rPr>
        <sz val="10"/>
        <color indexed="8"/>
        <rFont val="等线"/>
        <charset val="134"/>
      </rPr>
      <t>可</t>
    </r>
    <r>
      <rPr>
        <sz val="10"/>
        <color indexed="8"/>
        <rFont val="Times New Roman"/>
        <charset val="134"/>
      </rPr>
      <t>”;di &lt;0.2</t>
    </r>
    <r>
      <rPr>
        <sz val="10"/>
        <color indexed="8"/>
        <rFont val="等线"/>
        <charset val="134"/>
      </rPr>
      <t>的试题区分度为</t>
    </r>
    <r>
      <rPr>
        <sz val="10"/>
        <color indexed="8"/>
        <rFont val="Times New Roman"/>
        <charset val="134"/>
      </rPr>
      <t>“</t>
    </r>
    <r>
      <rPr>
        <sz val="10"/>
        <color indexed="8"/>
        <rFont val="等线"/>
        <charset val="134"/>
      </rPr>
      <t>差</t>
    </r>
    <r>
      <rPr>
        <sz val="10"/>
        <color indexed="8"/>
        <rFont val="Times New Roman"/>
        <charset val="134"/>
      </rPr>
      <t>”</t>
    </r>
    <r>
      <rPr>
        <sz val="10"/>
        <color indexed="8"/>
        <rFont val="等线"/>
        <charset val="134"/>
      </rPr>
      <t>。难度和区分度的关系</t>
    </r>
    <r>
      <rPr>
        <sz val="10"/>
        <color indexed="8"/>
        <rFont val="Times New Roman"/>
        <charset val="134"/>
      </rPr>
      <t>:</t>
    </r>
    <r>
      <rPr>
        <sz val="10"/>
        <color indexed="8"/>
        <rFont val="等线"/>
        <charset val="134"/>
      </rPr>
      <t>难度和区分度是评估试卷质量的两个主要指标，两者之间也存在着密切的关系。区分度的提高主要是通过控制试题难度实现的。如果试题太难，优生和差生都答不出来，就没有区分度可言；如果试题太容易，优生和差生都能答出来，同样没有区分度。只有适宜的难度才会有很好的区分度。实践证明，</t>
    </r>
    <r>
      <rPr>
        <sz val="10"/>
        <color indexed="8"/>
        <rFont val="Times New Roman"/>
        <charset val="134"/>
      </rPr>
      <t xml:space="preserve"> 0.5</t>
    </r>
    <r>
      <rPr>
        <sz val="10"/>
        <color indexed="8"/>
        <rFont val="等线"/>
        <charset val="134"/>
      </rPr>
      <t>难度的试题具有最好的的区分度。但在实际编制试卷时，不能要求所有题目的难度均为</t>
    </r>
    <r>
      <rPr>
        <sz val="10"/>
        <color indexed="8"/>
        <rFont val="Times New Roman"/>
        <charset val="134"/>
      </rPr>
      <t>0.5</t>
    </r>
    <r>
      <rPr>
        <sz val="10"/>
        <color indexed="8"/>
        <rFont val="等线"/>
        <charset val="134"/>
      </rPr>
      <t>。因为一般说来，较难的试题对高水平的考生区分度高，较易的试题对低水平的考生区分度高，中等难度的试题对中等水平的考生区分度高。当我们要求考生的成绩呈正态分布时，试题难度的分布也以正态为好，即特别难与特别容易的试题较少，越接近中等难度的试题越多，所有试题的平均难度为</t>
    </r>
    <r>
      <rPr>
        <sz val="10"/>
        <color indexed="8"/>
        <rFont val="Times New Roman"/>
        <charset val="134"/>
      </rPr>
      <t xml:space="preserve"> 0.5</t>
    </r>
    <r>
      <rPr>
        <sz val="10"/>
        <color indexed="8"/>
        <rFont val="等线"/>
        <charset val="134"/>
      </rPr>
      <t>，这样的试卷才具有较高的区分度。</t>
    </r>
  </si>
  <si>
    <r>
      <rPr>
        <sz val="10"/>
        <color indexed="8"/>
        <rFont val="等线"/>
        <charset val="134"/>
      </rPr>
      <t>衡量试题可靠性与稳定性的指标。信度高</t>
    </r>
    <r>
      <rPr>
        <sz val="10"/>
        <color indexed="8"/>
        <rFont val="Times New Roman"/>
        <charset val="134"/>
      </rPr>
      <t>(b)</t>
    </r>
    <r>
      <rPr>
        <sz val="10"/>
        <color indexed="8"/>
        <rFont val="等线"/>
        <charset val="134"/>
      </rPr>
      <t>说明考生分数不易受偶然因素造成的误差的影响，考生分数可以比较真实地反映考生的实际水平。一般认为，</t>
    </r>
    <r>
      <rPr>
        <sz val="10"/>
        <color indexed="8"/>
        <rFont val="Times New Roman"/>
        <charset val="134"/>
      </rPr>
      <t xml:space="preserve"> b &lt;0.5 </t>
    </r>
    <r>
      <rPr>
        <sz val="10"/>
        <color indexed="8"/>
        <rFont val="等线"/>
        <charset val="134"/>
      </rPr>
      <t>的试卷信度较差，</t>
    </r>
    <r>
      <rPr>
        <sz val="10"/>
        <color indexed="8"/>
        <rFont val="Times New Roman"/>
        <charset val="134"/>
      </rPr>
      <t xml:space="preserve"> 0.5</t>
    </r>
    <r>
      <rPr>
        <sz val="10"/>
        <color indexed="8"/>
        <rFont val="等线"/>
        <charset val="134"/>
      </rPr>
      <t>≤</t>
    </r>
    <r>
      <rPr>
        <sz val="10"/>
        <color indexed="8"/>
        <rFont val="Times New Roman"/>
        <charset val="134"/>
      </rPr>
      <t>b</t>
    </r>
    <r>
      <rPr>
        <sz val="10"/>
        <color indexed="8"/>
        <rFont val="等线"/>
        <charset val="134"/>
      </rPr>
      <t>≤</t>
    </r>
    <r>
      <rPr>
        <sz val="10"/>
        <color indexed="8"/>
        <rFont val="Times New Roman"/>
        <charset val="134"/>
      </rPr>
      <t>0.8</t>
    </r>
    <r>
      <rPr>
        <sz val="10"/>
        <color indexed="8"/>
        <rFont val="等线"/>
        <charset val="134"/>
      </rPr>
      <t>的试卷信度良好，</t>
    </r>
    <r>
      <rPr>
        <sz val="10"/>
        <color indexed="8"/>
        <rFont val="Times New Roman"/>
        <charset val="134"/>
      </rPr>
      <t xml:space="preserve"> b &gt;0.8 </t>
    </r>
    <r>
      <rPr>
        <sz val="10"/>
        <color indexed="8"/>
        <rFont val="等线"/>
        <charset val="134"/>
      </rPr>
      <t>的试卷信度非常好。</t>
    </r>
  </si>
  <si>
    <r>
      <rPr>
        <sz val="10"/>
        <color indexed="8"/>
        <rFont val="等线"/>
        <charset val="134"/>
      </rPr>
      <t>衡量考试结果对考试目标实现程度的指标，效度</t>
    </r>
    <r>
      <rPr>
        <sz val="10"/>
        <color indexed="8"/>
        <rFont val="Times New Roman"/>
        <charset val="134"/>
      </rPr>
      <t>(r)</t>
    </r>
    <r>
      <rPr>
        <sz val="10"/>
        <color indexed="8"/>
        <rFont val="等线"/>
        <charset val="134"/>
      </rPr>
      <t>反映了考试的准确性和有效性。提高考试的效度要注意两个方面的问题：一是考试的目标要明确，是要考核学生对基础知识的掌握，还是要考核学生应用知识进行推理判断的能力，或是两者兼而有之；二是试题的设计要能有效地体现考试目标，客观性试题一般用来考核学生对基础知识的掌握，非客观性试题则用来考核学生应用知识进行推理判断的能力。一般认为</t>
    </r>
    <r>
      <rPr>
        <sz val="10"/>
        <color indexed="8"/>
        <rFont val="Times New Roman"/>
        <charset val="134"/>
      </rPr>
      <t xml:space="preserve"> r &gt;=0.4 </t>
    </r>
    <r>
      <rPr>
        <sz val="10"/>
        <color indexed="8"/>
        <rFont val="等线"/>
        <charset val="134"/>
      </rPr>
      <t>的试卷才可以有效的实现考试的目标。</t>
    </r>
  </si>
  <si>
    <r>
      <rPr>
        <sz val="10"/>
        <color indexed="8"/>
        <rFont val="等线"/>
        <charset val="134"/>
      </rPr>
      <t>偏态值用于衡量成绩分布服从正态分布的程度。一般来说偏态值在－</t>
    </r>
    <r>
      <rPr>
        <sz val="10"/>
        <color indexed="8"/>
        <rFont val="Times New Roman"/>
        <charset val="134"/>
      </rPr>
      <t>1</t>
    </r>
    <r>
      <rPr>
        <sz val="10"/>
        <color indexed="8"/>
        <rFont val="等线"/>
        <charset val="134"/>
      </rPr>
      <t>到＋</t>
    </r>
    <r>
      <rPr>
        <sz val="10"/>
        <color indexed="8"/>
        <rFont val="Times New Roman"/>
        <charset val="134"/>
      </rPr>
      <t xml:space="preserve">1 </t>
    </r>
    <r>
      <rPr>
        <sz val="10"/>
        <color indexed="8"/>
        <rFont val="等线"/>
        <charset val="134"/>
      </rPr>
      <t>的范围之内就可以认为成绩基本呈正态分布。</t>
    </r>
  </si>
  <si>
    <r>
      <rPr>
        <sz val="10.5"/>
        <color indexed="8"/>
        <rFont val="宋体"/>
        <charset val="134"/>
      </rPr>
      <t>成绩比例</t>
    </r>
    <r>
      <rPr>
        <sz val="10.5"/>
        <color indexed="8"/>
        <rFont val="Times New Roman"/>
        <charset val="134"/>
      </rPr>
      <t>(%)</t>
    </r>
  </si>
</sst>
</file>

<file path=xl/styles.xml><?xml version="1.0" encoding="utf-8"?>
<styleSheet xmlns="http://schemas.openxmlformats.org/spreadsheetml/2006/main">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 "/>
    <numFmt numFmtId="178" formatCode="0.000_ "/>
    <numFmt numFmtId="179" formatCode="0.0000_ "/>
    <numFmt numFmtId="180" formatCode="0.00_ "/>
    <numFmt numFmtId="181" formatCode="0.0_);[Red]\(0.0\)"/>
    <numFmt numFmtId="182" formatCode="0_);[Red]\(0\)"/>
    <numFmt numFmtId="183" formatCode="0.0;[Red]0.0"/>
  </numFmts>
  <fonts count="140">
    <font>
      <sz val="11"/>
      <color indexed="8"/>
      <name val="等线"/>
      <charset val="134"/>
    </font>
    <font>
      <sz val="11"/>
      <name val="等线"/>
      <charset val="134"/>
    </font>
    <font>
      <sz val="10.5"/>
      <name val="Times New Roman"/>
      <charset val="134"/>
    </font>
    <font>
      <sz val="10.5"/>
      <name val="宋体"/>
      <charset val="134"/>
    </font>
    <font>
      <sz val="10"/>
      <name val="宋体"/>
      <charset val="134"/>
    </font>
    <font>
      <sz val="10"/>
      <color indexed="8"/>
      <name val="等线"/>
      <charset val="134"/>
    </font>
    <font>
      <sz val="10"/>
      <color indexed="8"/>
      <name val="Times New Roman"/>
      <charset val="134"/>
    </font>
    <font>
      <sz val="10.5"/>
      <color indexed="8"/>
      <name val="宋体"/>
      <charset val="134"/>
    </font>
    <font>
      <sz val="10.5"/>
      <color indexed="8"/>
      <name val="Times New Roman"/>
      <charset val="134"/>
    </font>
    <font>
      <sz val="12"/>
      <name val="Times New Roman"/>
      <charset val="134"/>
    </font>
    <font>
      <sz val="11"/>
      <color theme="1"/>
      <name val="宋体"/>
      <charset val="134"/>
      <scheme val="minor"/>
    </font>
    <font>
      <sz val="8.5"/>
      <color rgb="FF231F20"/>
      <name val="宋体"/>
      <charset val="134"/>
    </font>
    <font>
      <sz val="8"/>
      <color indexed="8"/>
      <name val="宋体"/>
      <charset val="134"/>
    </font>
    <font>
      <sz val="8"/>
      <color theme="1"/>
      <name val="宋体"/>
      <charset val="134"/>
      <scheme val="minor"/>
    </font>
    <font>
      <sz val="8"/>
      <name val="宋体"/>
      <charset val="134"/>
    </font>
    <font>
      <sz val="10"/>
      <color rgb="FF000000"/>
      <name val="宋体"/>
      <charset val="134"/>
    </font>
    <font>
      <sz val="9"/>
      <color rgb="FF000000"/>
      <name val="宋体"/>
      <charset val="134"/>
    </font>
    <font>
      <sz val="6"/>
      <name val="宋体"/>
      <charset val="134"/>
    </font>
    <font>
      <u/>
      <sz val="11"/>
      <color rgb="FF0000FF"/>
      <name val="宋体"/>
      <charset val="0"/>
      <scheme val="minor"/>
    </font>
    <font>
      <sz val="10"/>
      <color rgb="FF000000"/>
      <name val="Times New Roman"/>
      <charset val="134"/>
    </font>
    <font>
      <u/>
      <sz val="11"/>
      <color rgb="FF800080"/>
      <name val="宋体"/>
      <charset val="0"/>
      <scheme val="minor"/>
    </font>
    <font>
      <sz val="11"/>
      <color rgb="FF0070C0"/>
      <name val="等线"/>
      <charset val="134"/>
    </font>
    <font>
      <sz val="11"/>
      <color theme="1"/>
      <name val="等线"/>
      <charset val="134"/>
    </font>
    <font>
      <sz val="8.5"/>
      <color rgb="FF0070C0"/>
      <name val="宋体"/>
      <charset val="134"/>
      <scheme val="minor"/>
    </font>
    <font>
      <sz val="8"/>
      <color rgb="FF0070C0"/>
      <name val="宋体"/>
      <charset val="134"/>
      <scheme val="minor"/>
    </font>
    <font>
      <sz val="11"/>
      <color rgb="FF0070C0"/>
      <name val="宋体"/>
      <charset val="134"/>
      <scheme val="minor"/>
    </font>
    <font>
      <sz val="8"/>
      <name val="宋体"/>
      <charset val="134"/>
      <scheme val="minor"/>
    </font>
    <font>
      <sz val="8.5"/>
      <color rgb="FF0070C0"/>
      <name val="宋体"/>
      <charset val="134"/>
    </font>
    <font>
      <sz val="8.5"/>
      <color indexed="8"/>
      <name val="宋体"/>
      <charset val="134"/>
      <scheme val="minor"/>
    </font>
    <font>
      <sz val="8.5"/>
      <name val="宋体"/>
      <charset val="134"/>
      <scheme val="minor"/>
    </font>
    <font>
      <sz val="8.5"/>
      <color theme="1"/>
      <name val="宋体"/>
      <charset val="134"/>
      <scheme val="minor"/>
    </font>
    <font>
      <sz val="11"/>
      <color rgb="FFFF0000"/>
      <name val="宋体"/>
      <charset val="134"/>
      <scheme val="minor"/>
    </font>
    <font>
      <sz val="11"/>
      <color rgb="FFFF0000"/>
      <name val="等线"/>
      <charset val="134"/>
    </font>
    <font>
      <sz val="11"/>
      <color indexed="8"/>
      <name val="Times New Roman"/>
      <charset val="134"/>
    </font>
    <font>
      <b/>
      <sz val="14"/>
      <name val="宋体"/>
      <charset val="134"/>
    </font>
    <font>
      <b/>
      <sz val="14"/>
      <name val="Times New Roman"/>
      <charset val="134"/>
    </font>
    <font>
      <b/>
      <sz val="14"/>
      <color indexed="8"/>
      <name val="宋体"/>
      <charset val="134"/>
    </font>
    <font>
      <b/>
      <sz val="14"/>
      <color indexed="8"/>
      <name val="Times New Roman"/>
      <charset val="134"/>
    </font>
    <font>
      <sz val="11"/>
      <color indexed="8"/>
      <name val="宋体"/>
      <charset val="134"/>
    </font>
    <font>
      <sz val="11"/>
      <color rgb="FFFF0000"/>
      <name val="宋体"/>
      <charset val="134"/>
    </font>
    <font>
      <sz val="10"/>
      <color indexed="10"/>
      <name val="Times New Roman"/>
      <charset val="134"/>
    </font>
    <font>
      <sz val="11"/>
      <color indexed="10"/>
      <name val="Times New Roman"/>
      <charset val="134"/>
    </font>
    <font>
      <sz val="11"/>
      <name val="Times New Roman"/>
      <charset val="134"/>
    </font>
    <font>
      <u/>
      <sz val="11"/>
      <color indexed="8"/>
      <name val="Times New Roman"/>
      <charset val="134"/>
    </font>
    <font>
      <sz val="11"/>
      <color indexed="8"/>
      <name val="宋体"/>
      <charset val="134"/>
      <scheme val="major"/>
    </font>
    <font>
      <sz val="1"/>
      <color indexed="8"/>
      <name val="等线"/>
      <charset val="134"/>
    </font>
    <font>
      <sz val="11"/>
      <color theme="0"/>
      <name val="等线"/>
      <charset val="134"/>
    </font>
    <font>
      <sz val="11"/>
      <color theme="0"/>
      <name val="宋体"/>
      <charset val="134"/>
      <scheme val="minor"/>
    </font>
    <font>
      <b/>
      <sz val="12"/>
      <color theme="1"/>
      <name val="宋体"/>
      <charset val="134"/>
      <scheme val="major"/>
    </font>
    <font>
      <b/>
      <sz val="10"/>
      <color theme="1"/>
      <name val="宋体"/>
      <charset val="134"/>
    </font>
    <font>
      <b/>
      <sz val="10"/>
      <color theme="1"/>
      <name val="宋体"/>
      <charset val="134"/>
      <scheme val="minor"/>
    </font>
    <font>
      <sz val="9"/>
      <color theme="1"/>
      <name val="宋体"/>
      <charset val="134"/>
      <scheme val="minor"/>
    </font>
    <font>
      <sz val="10"/>
      <color theme="1"/>
      <name val="宋体"/>
      <charset val="134"/>
      <scheme val="minor"/>
    </font>
    <font>
      <sz val="9"/>
      <color theme="1"/>
      <name val="宋体"/>
      <charset val="134"/>
    </font>
    <font>
      <sz val="9"/>
      <color rgb="FFFF0000"/>
      <name val="宋体"/>
      <charset val="134"/>
      <scheme val="minor"/>
    </font>
    <font>
      <b/>
      <sz val="11"/>
      <color theme="1"/>
      <name val="微软雅黑"/>
      <charset val="134"/>
    </font>
    <font>
      <b/>
      <sz val="11"/>
      <color rgb="FFFF0000"/>
      <name val="微软雅黑"/>
      <charset val="134"/>
    </font>
    <font>
      <b/>
      <sz val="11"/>
      <color theme="1"/>
      <name val="宋体"/>
      <charset val="134"/>
      <scheme val="minor"/>
    </font>
    <font>
      <sz val="11"/>
      <color rgb="FF000000"/>
      <name val="等线"/>
      <charset val="134"/>
    </font>
    <font>
      <sz val="9"/>
      <name val="宋体"/>
      <charset val="134"/>
      <scheme val="minor"/>
    </font>
    <font>
      <b/>
      <sz val="11"/>
      <color theme="9" tint="0.6"/>
      <name val="微软雅黑"/>
      <charset val="134"/>
    </font>
    <font>
      <sz val="11"/>
      <color indexed="8"/>
      <name val="宋体"/>
      <charset val="134"/>
      <scheme val="minor"/>
    </font>
    <font>
      <sz val="9"/>
      <color theme="0"/>
      <name val="宋体"/>
      <charset val="134"/>
      <scheme val="minor"/>
    </font>
    <font>
      <sz val="11"/>
      <color theme="0"/>
      <name val="宋体"/>
      <charset val="134"/>
      <scheme val="major"/>
    </font>
    <font>
      <sz val="11"/>
      <name val="宋体"/>
      <charset val="134"/>
      <scheme val="minor"/>
    </font>
    <font>
      <sz val="9"/>
      <color rgb="FFFF0000"/>
      <name val="宋体"/>
      <charset val="134"/>
      <scheme val="major"/>
    </font>
    <font>
      <sz val="9"/>
      <color indexed="8"/>
      <name val="等线"/>
      <charset val="134"/>
    </font>
    <font>
      <b/>
      <sz val="11"/>
      <color indexed="8"/>
      <name val="微软雅黑"/>
      <charset val="134"/>
    </font>
    <font>
      <sz val="9"/>
      <color indexed="8"/>
      <name val="宋体"/>
      <charset val="134"/>
    </font>
    <font>
      <sz val="8"/>
      <color indexed="8"/>
      <name val="等线"/>
      <charset val="134"/>
    </font>
    <font>
      <sz val="1"/>
      <color theme="0"/>
      <name val="等线"/>
      <charset val="134"/>
    </font>
    <font>
      <sz val="11"/>
      <color rgb="FFFFFF00"/>
      <name val="等线"/>
      <charset val="134"/>
    </font>
    <font>
      <sz val="16"/>
      <name val="Times New Roman"/>
      <charset val="134"/>
    </font>
    <font>
      <sz val="16"/>
      <color indexed="8"/>
      <name val="宋体"/>
      <charset val="134"/>
    </font>
    <font>
      <sz val="10"/>
      <color indexed="8"/>
      <name val="宋体"/>
      <charset val="134"/>
    </font>
    <font>
      <sz val="10"/>
      <color theme="0"/>
      <name val="宋体"/>
      <charset val="134"/>
    </font>
    <font>
      <sz val="10"/>
      <color theme="0"/>
      <name val="Times New Roman"/>
      <charset val="134"/>
    </font>
    <font>
      <sz val="11"/>
      <color rgb="FFFF0000"/>
      <name val="Times New Roman"/>
      <charset val="134"/>
    </font>
    <font>
      <sz val="11"/>
      <color theme="0"/>
      <name val="Times New Roman"/>
      <charset val="134"/>
    </font>
    <font>
      <b/>
      <sz val="10"/>
      <name val="宋体"/>
      <charset val="134"/>
    </font>
    <font>
      <b/>
      <sz val="10"/>
      <name val="Times New Roman"/>
      <charset val="134"/>
    </font>
    <font>
      <sz val="10"/>
      <name val="Times New Roman"/>
      <charset val="134"/>
    </font>
    <font>
      <b/>
      <sz val="11"/>
      <color indexed="8"/>
      <name val="宋体"/>
      <charset val="134"/>
    </font>
    <font>
      <sz val="11"/>
      <color rgb="FF000000"/>
      <name val="宋体"/>
      <charset val="134"/>
    </font>
    <font>
      <sz val="11"/>
      <color rgb="FF000000"/>
      <name val="Times New Roman"/>
      <charset val="134"/>
    </font>
    <font>
      <sz val="14"/>
      <color rgb="FFFF0000"/>
      <name val="宋体"/>
      <charset val="134"/>
    </font>
    <font>
      <sz val="14"/>
      <color rgb="FFFF0000"/>
      <name val="Times New Roman"/>
      <charset val="134"/>
    </font>
    <font>
      <sz val="10"/>
      <color theme="1"/>
      <name val="Arial"/>
      <charset val="134"/>
    </font>
    <font>
      <sz val="11"/>
      <color indexed="10"/>
      <name val="等线"/>
      <charset val="134"/>
    </font>
    <font>
      <sz val="10"/>
      <color rgb="FF000000"/>
      <name val="等线"/>
      <charset val="134"/>
    </font>
    <font>
      <sz val="10"/>
      <color indexed="8"/>
      <name val="Arial"/>
      <charset val="134"/>
    </font>
    <font>
      <sz val="24"/>
      <color rgb="FFFFFF00"/>
      <name val="等线"/>
      <charset val="134"/>
    </font>
    <font>
      <sz val="48"/>
      <color rgb="FFFFFF00"/>
      <name val="等线"/>
      <charset val="134"/>
    </font>
    <font>
      <sz val="9"/>
      <name val="宋体"/>
      <charset val="134"/>
    </font>
    <font>
      <b/>
      <sz val="9"/>
      <name val="宋体"/>
      <charset val="134"/>
    </font>
    <font>
      <b/>
      <sz val="10.5"/>
      <name val="宋体"/>
      <charset val="134"/>
    </font>
    <font>
      <b/>
      <sz val="10"/>
      <name val="宋体"/>
      <charset val="134"/>
      <scheme val="major"/>
    </font>
    <font>
      <b/>
      <u/>
      <sz val="7"/>
      <color rgb="FFFFFF00"/>
      <name val="宋体"/>
      <charset val="134"/>
    </font>
    <font>
      <b/>
      <sz val="10"/>
      <color rgb="FFFFFF00"/>
      <name val="Times New Roman"/>
      <charset val="134"/>
    </font>
    <font>
      <b/>
      <sz val="10"/>
      <color rgb="FFFFFF00"/>
      <name val="宋体"/>
      <charset val="134"/>
    </font>
    <font>
      <sz val="8"/>
      <color rgb="FFFF0000"/>
      <name val="等线"/>
      <charset val="134"/>
    </font>
    <font>
      <u/>
      <sz val="11"/>
      <name val="宋体"/>
      <charset val="0"/>
      <scheme val="minor"/>
    </font>
    <font>
      <sz val="10"/>
      <name val="等线"/>
      <charset val="134"/>
    </font>
    <font>
      <b/>
      <sz val="9"/>
      <color rgb="FFFFFF00"/>
      <name val="等线"/>
      <charset val="134"/>
    </font>
    <font>
      <b/>
      <sz val="9"/>
      <name val="等线"/>
      <charset val="134"/>
    </font>
    <font>
      <sz val="7"/>
      <name val="等线"/>
      <charset val="134"/>
    </font>
    <font>
      <sz val="8"/>
      <color rgb="FF000000"/>
      <name val="微软雅黑"/>
      <charset val="134"/>
    </font>
    <font>
      <sz val="8"/>
      <color rgb="FF000000"/>
      <name val="等线"/>
      <charset val="134"/>
    </font>
    <font>
      <sz val="6"/>
      <color indexed="8"/>
      <name val="等线"/>
      <charset val="134"/>
    </font>
    <font>
      <sz val="11"/>
      <color rgb="FF000000"/>
      <name val="微软雅黑"/>
      <charset val="134"/>
    </font>
    <font>
      <sz val="8"/>
      <color theme="1"/>
      <name val="等线"/>
      <charset val="134"/>
    </font>
    <font>
      <sz val="12"/>
      <color rgb="FF333333"/>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宋体"/>
      <charset val="134"/>
    </font>
    <font>
      <sz val="9"/>
      <name val="宋体"/>
      <charset val="134"/>
      <scheme val="major"/>
    </font>
    <font>
      <b/>
      <sz val="11"/>
      <color rgb="FF000000"/>
      <name val="微软雅黑"/>
      <charset val="134"/>
    </font>
    <font>
      <b/>
      <sz val="11"/>
      <color rgb="FF000000"/>
      <name val="Times New Roman"/>
      <charset val="134"/>
    </font>
    <font>
      <b/>
      <sz val="11"/>
      <color rgb="FF000000"/>
      <name val="宋体"/>
      <charset val="134"/>
    </font>
    <font>
      <b/>
      <sz val="10.5"/>
      <name val="Times New Roman"/>
      <charset val="134"/>
    </font>
    <font>
      <sz val="9"/>
      <name val="宋体"/>
      <charset val="134"/>
    </font>
    <font>
      <b/>
      <sz val="9"/>
      <name val="宋体"/>
      <charset val="134"/>
    </font>
    <font>
      <b/>
      <sz val="9"/>
      <color rgb="FFFF0000"/>
      <name val="宋体"/>
      <charset val="134"/>
    </font>
    <font>
      <sz val="9"/>
      <color rgb="FFFF0000"/>
      <name val="宋体"/>
      <charset val="134"/>
    </font>
    <font>
      <b/>
      <sz val="9"/>
      <color rgb="FF00FF00"/>
      <name val="宋体"/>
      <charset val="134"/>
    </font>
  </fonts>
  <fills count="64">
    <fill>
      <patternFill patternType="none"/>
    </fill>
    <fill>
      <patternFill patternType="gray125"/>
    </fill>
    <fill>
      <patternFill patternType="solid">
        <fgColor rgb="FFFFFF00"/>
        <bgColor indexed="64"/>
      </patternFill>
    </fill>
    <fill>
      <patternFill patternType="solid">
        <fgColor theme="3" tint="0.8"/>
        <bgColor indexed="64"/>
      </patternFill>
    </fill>
    <fill>
      <patternFill patternType="solid">
        <fgColor theme="9" tint="0.6"/>
        <bgColor indexed="64"/>
      </patternFill>
    </fill>
    <fill>
      <patternFill patternType="solid">
        <fgColor rgb="FF00B050"/>
        <bgColor indexed="64"/>
      </patternFill>
    </fill>
    <fill>
      <patternFill patternType="solid">
        <fgColor theme="6" tint="0.6"/>
        <bgColor indexed="64"/>
      </patternFill>
    </fill>
    <fill>
      <patternFill patternType="solid">
        <fgColor theme="6"/>
        <bgColor indexed="64"/>
      </patternFill>
    </fill>
    <fill>
      <patternFill patternType="solid">
        <fgColor rgb="FFFFFFFF"/>
        <bgColor indexed="64"/>
      </patternFill>
    </fill>
    <fill>
      <patternFill patternType="solid">
        <fgColor rgb="FF00B0F0"/>
        <bgColor indexed="64"/>
      </patternFill>
    </fill>
    <fill>
      <patternFill patternType="solid">
        <fgColor theme="9"/>
        <bgColor indexed="64"/>
      </patternFill>
    </fill>
    <fill>
      <patternFill patternType="solid">
        <fgColor rgb="FF0070C0"/>
        <bgColor indexed="64"/>
      </patternFill>
    </fill>
    <fill>
      <patternFill patternType="solid">
        <fgColor theme="5"/>
        <bgColor indexed="64"/>
      </patternFill>
    </fill>
    <fill>
      <patternFill patternType="solid">
        <fgColor rgb="FF92D050"/>
        <bgColor indexed="64"/>
      </patternFill>
    </fill>
    <fill>
      <patternFill patternType="solid">
        <fgColor rgb="FFFFC000"/>
        <bgColor indexed="64"/>
      </patternFill>
    </fill>
    <fill>
      <patternFill patternType="solid">
        <fgColor theme="9" tint="0.8"/>
        <bgColor indexed="64"/>
      </patternFill>
    </fill>
    <fill>
      <patternFill patternType="solid">
        <fgColor theme="7" tint="0.6"/>
        <bgColor indexed="64"/>
      </patternFill>
    </fill>
    <fill>
      <patternFill patternType="solid">
        <fgColor theme="6" tint="0.4"/>
        <bgColor indexed="64"/>
      </patternFill>
    </fill>
    <fill>
      <patternFill patternType="solid">
        <fgColor theme="2" tint="-0.25"/>
        <bgColor indexed="64"/>
      </patternFill>
    </fill>
    <fill>
      <patternFill patternType="solid">
        <fgColor theme="8" tint="0.6"/>
        <bgColor indexed="64"/>
      </patternFill>
    </fill>
    <fill>
      <patternFill patternType="solid">
        <fgColor theme="3" tint="0.6"/>
        <bgColor indexed="64"/>
      </patternFill>
    </fill>
    <fill>
      <patternFill patternType="solid">
        <fgColor theme="5" tint="0.6"/>
        <bgColor indexed="64"/>
      </patternFill>
    </fill>
    <fill>
      <patternFill patternType="solid">
        <fgColor theme="7" tint="0.4"/>
        <bgColor indexed="64"/>
      </patternFill>
    </fill>
    <fill>
      <patternFill patternType="solid">
        <fgColor rgb="FFFF0000"/>
        <bgColor indexed="64"/>
      </patternFill>
    </fill>
    <fill>
      <patternFill patternType="solid">
        <fgColor theme="6" tint="0.8"/>
        <bgColor indexed="64"/>
      </patternFill>
    </fill>
    <fill>
      <patternFill patternType="solid">
        <fgColor theme="6" tint="-0.25"/>
        <bgColor indexed="64"/>
      </patternFill>
    </fill>
    <fill>
      <patternFill patternType="solid">
        <fgColor indexed="65"/>
        <bgColor indexed="64"/>
      </patternFill>
    </fill>
    <fill>
      <patternFill patternType="solid">
        <fgColor theme="0" tint="-0.05"/>
        <bgColor indexed="64"/>
      </patternFill>
    </fill>
    <fill>
      <patternFill patternType="solid">
        <fgColor theme="0" tint="-0.25"/>
        <bgColor indexed="64"/>
      </patternFill>
    </fill>
    <fill>
      <patternFill patternType="solid">
        <fgColor theme="0" tint="-0.35"/>
        <bgColor indexed="64"/>
      </patternFill>
    </fill>
    <fill>
      <patternFill patternType="solid">
        <fgColor indexed="47"/>
        <bgColor indexed="64"/>
      </patternFill>
    </fill>
    <fill>
      <patternFill patternType="solid">
        <fgColor indexed="17"/>
        <bgColor indexed="64"/>
      </patternFill>
    </fill>
    <fill>
      <patternFill patternType="solid">
        <fgColor indexed="9"/>
        <bgColor indexed="64"/>
      </patternFill>
    </fill>
    <fill>
      <patternFill patternType="solid">
        <fgColor indexed="53"/>
        <bgColor indexed="64"/>
      </patternFill>
    </fill>
    <fill>
      <patternFill patternType="solid">
        <fgColor indexed="29"/>
        <bgColor indexed="64"/>
      </patternFill>
    </fill>
    <fill>
      <patternFill patternType="solid">
        <fgColor indexed="51"/>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5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style="medium">
        <color indexed="8"/>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auto="1"/>
      </left>
      <right style="medium">
        <color auto="1"/>
      </right>
      <top/>
      <bottom style="medium">
        <color auto="1"/>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thick">
        <color auto="1"/>
      </left>
      <right style="thin">
        <color auto="1"/>
      </right>
      <top style="thick">
        <color auto="1"/>
      </top>
      <bottom style="thin">
        <color auto="1"/>
      </bottom>
      <diagonal/>
    </border>
    <border diagonalDown="1">
      <left style="thin">
        <color auto="1"/>
      </left>
      <right style="thin">
        <color auto="1"/>
      </right>
      <top style="thick">
        <color auto="1"/>
      </top>
      <bottom style="thin">
        <color auto="1"/>
      </bottom>
      <diagonal style="thin">
        <color auto="1"/>
      </diagonal>
    </border>
    <border>
      <left style="thin">
        <color auto="1"/>
      </left>
      <right style="thin">
        <color auto="1"/>
      </right>
      <top style="thick">
        <color auto="1"/>
      </top>
      <bottom style="thin">
        <color auto="1"/>
      </bottom>
      <diagonal/>
    </border>
    <border>
      <left style="thick">
        <color auto="1"/>
      </left>
      <right style="thin">
        <color auto="1"/>
      </right>
      <top style="thin">
        <color auto="1"/>
      </top>
      <bottom style="thin">
        <color auto="1"/>
      </bottom>
      <diagonal/>
    </border>
    <border diagonalDown="1">
      <left style="thin">
        <color auto="1"/>
      </left>
      <right style="thin">
        <color auto="1"/>
      </right>
      <top style="thin">
        <color auto="1"/>
      </top>
      <bottom style="thin">
        <color auto="1"/>
      </bottom>
      <diagonal style="thin">
        <color auto="1"/>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ck">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style="thick">
        <color auto="1"/>
      </bottom>
      <diagonal/>
    </border>
    <border>
      <left/>
      <right/>
      <top style="medium">
        <color rgb="FF000000"/>
      </top>
      <bottom style="medium">
        <color rgb="FF000000"/>
      </bottom>
      <diagonal/>
    </border>
    <border>
      <left/>
      <right/>
      <top/>
      <bottom style="medium">
        <color rgb="FF000000"/>
      </bottom>
      <diagonal/>
    </border>
    <border>
      <left/>
      <right/>
      <top style="medium">
        <color auto="1"/>
      </top>
      <bottom style="medium">
        <color auto="1"/>
      </bottom>
      <diagonal/>
    </border>
    <border>
      <left/>
      <right/>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top/>
      <bottom/>
      <diagonal/>
    </border>
    <border>
      <left/>
      <right style="medium">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112" fillId="36" borderId="0" applyNumberFormat="0" applyBorder="0" applyAlignment="0" applyProtection="0">
      <alignment vertical="center"/>
    </xf>
    <xf numFmtId="0" fontId="113" fillId="37" borderId="42"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2" fillId="38" borderId="0" applyNumberFormat="0" applyBorder="0" applyAlignment="0" applyProtection="0">
      <alignment vertical="center"/>
    </xf>
    <xf numFmtId="0" fontId="114" fillId="39" borderId="0" applyNumberFormat="0" applyBorder="0" applyAlignment="0" applyProtection="0">
      <alignment vertical="center"/>
    </xf>
    <xf numFmtId="43" fontId="10" fillId="0" borderId="0" applyFont="0" applyFill="0" applyBorder="0" applyAlignment="0" applyProtection="0">
      <alignment vertical="center"/>
    </xf>
    <xf numFmtId="0" fontId="115" fillId="40" borderId="0" applyNumberFormat="0" applyBorder="0" applyAlignment="0" applyProtection="0">
      <alignment vertical="center"/>
    </xf>
    <xf numFmtId="0" fontId="18" fillId="0" borderId="0" applyNumberFormat="0" applyFill="0" applyBorder="0" applyAlignment="0" applyProtection="0">
      <alignment vertical="center"/>
    </xf>
    <xf numFmtId="9" fontId="10" fillId="0" borderId="0" applyFont="0" applyFill="0" applyBorder="0" applyAlignment="0" applyProtection="0">
      <alignment vertical="center"/>
    </xf>
    <xf numFmtId="0" fontId="20" fillId="0" borderId="0" applyNumberFormat="0" applyFill="0" applyBorder="0" applyAlignment="0" applyProtection="0">
      <alignment vertical="center"/>
    </xf>
    <xf numFmtId="0" fontId="10" fillId="41" borderId="43" applyNumberFormat="0" applyFont="0" applyAlignment="0" applyProtection="0">
      <alignment vertical="center"/>
    </xf>
    <xf numFmtId="0" fontId="115" fillId="42" borderId="0" applyNumberFormat="0" applyBorder="0" applyAlignment="0" applyProtection="0">
      <alignment vertical="center"/>
    </xf>
    <xf numFmtId="0" fontId="116"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8"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4" applyNumberFormat="0" applyFill="0" applyAlignment="0" applyProtection="0">
      <alignment vertical="center"/>
    </xf>
    <xf numFmtId="0" fontId="121" fillId="0" borderId="44" applyNumberFormat="0" applyFill="0" applyAlignment="0" applyProtection="0">
      <alignment vertical="center"/>
    </xf>
    <xf numFmtId="0" fontId="115" fillId="43" borderId="0" applyNumberFormat="0" applyBorder="0" applyAlignment="0" applyProtection="0">
      <alignment vertical="center"/>
    </xf>
    <xf numFmtId="0" fontId="116" fillId="0" borderId="45" applyNumberFormat="0" applyFill="0" applyAlignment="0" applyProtection="0">
      <alignment vertical="center"/>
    </xf>
    <xf numFmtId="0" fontId="115" fillId="44" borderId="0" applyNumberFormat="0" applyBorder="0" applyAlignment="0" applyProtection="0">
      <alignment vertical="center"/>
    </xf>
    <xf numFmtId="0" fontId="122" fillId="45" borderId="46" applyNumberFormat="0" applyAlignment="0" applyProtection="0">
      <alignment vertical="center"/>
    </xf>
    <xf numFmtId="0" fontId="123" fillId="45" borderId="42" applyNumberFormat="0" applyAlignment="0" applyProtection="0">
      <alignment vertical="center"/>
    </xf>
    <xf numFmtId="0" fontId="124" fillId="46" borderId="47" applyNumberFormat="0" applyAlignment="0" applyProtection="0">
      <alignment vertical="center"/>
    </xf>
    <xf numFmtId="0" fontId="112" fillId="47" borderId="0" applyNumberFormat="0" applyBorder="0" applyAlignment="0" applyProtection="0">
      <alignment vertical="center"/>
    </xf>
    <xf numFmtId="0" fontId="115" fillId="12" borderId="0" applyNumberFormat="0" applyBorder="0" applyAlignment="0" applyProtection="0">
      <alignment vertical="center"/>
    </xf>
    <xf numFmtId="0" fontId="125" fillId="0" borderId="48" applyNumberFormat="0" applyFill="0" applyAlignment="0" applyProtection="0">
      <alignment vertical="center"/>
    </xf>
    <xf numFmtId="0" fontId="126" fillId="0" borderId="49" applyNumberFormat="0" applyFill="0" applyAlignment="0" applyProtection="0">
      <alignment vertical="center"/>
    </xf>
    <xf numFmtId="0" fontId="127" fillId="48" borderId="0" applyNumberFormat="0" applyBorder="0" applyAlignment="0" applyProtection="0">
      <alignment vertical="center"/>
    </xf>
    <xf numFmtId="0" fontId="128" fillId="49" borderId="0" applyNumberFormat="0" applyBorder="0" applyAlignment="0" applyProtection="0">
      <alignment vertical="center"/>
    </xf>
    <xf numFmtId="0" fontId="112" fillId="50" borderId="0" applyNumberFormat="0" applyBorder="0" applyAlignment="0" applyProtection="0">
      <alignment vertical="center"/>
    </xf>
    <xf numFmtId="0" fontId="115" fillId="51" borderId="0" applyNumberFormat="0" applyBorder="0" applyAlignment="0" applyProtection="0">
      <alignment vertical="center"/>
    </xf>
    <xf numFmtId="0" fontId="112" fillId="52" borderId="0" applyNumberFormat="0" applyBorder="0" applyAlignment="0" applyProtection="0">
      <alignment vertical="center"/>
    </xf>
    <xf numFmtId="0" fontId="112" fillId="53" borderId="0" applyNumberFormat="0" applyBorder="0" applyAlignment="0" applyProtection="0">
      <alignment vertical="center"/>
    </xf>
    <xf numFmtId="0" fontId="112" fillId="54" borderId="0" applyNumberFormat="0" applyBorder="0" applyAlignment="0" applyProtection="0">
      <alignment vertical="center"/>
    </xf>
    <xf numFmtId="0" fontId="112" fillId="55" borderId="0" applyNumberFormat="0" applyBorder="0" applyAlignment="0" applyProtection="0">
      <alignment vertical="center"/>
    </xf>
    <xf numFmtId="0" fontId="115" fillId="7" borderId="0" applyNumberFormat="0" applyBorder="0" applyAlignment="0" applyProtection="0">
      <alignment vertical="center"/>
    </xf>
    <xf numFmtId="0" fontId="115" fillId="56" borderId="0" applyNumberFormat="0" applyBorder="0" applyAlignment="0" applyProtection="0">
      <alignment vertical="center"/>
    </xf>
    <xf numFmtId="0" fontId="112" fillId="57" borderId="0" applyNumberFormat="0" applyBorder="0" applyAlignment="0" applyProtection="0">
      <alignment vertical="center"/>
    </xf>
    <xf numFmtId="0" fontId="112" fillId="58" borderId="0" applyNumberFormat="0" applyBorder="0" applyAlignment="0" applyProtection="0">
      <alignment vertical="center"/>
    </xf>
    <xf numFmtId="0" fontId="115" fillId="59" borderId="0" applyNumberFormat="0" applyBorder="0" applyAlignment="0" applyProtection="0">
      <alignment vertical="center"/>
    </xf>
    <xf numFmtId="0" fontId="112" fillId="60" borderId="0" applyNumberFormat="0" applyBorder="0" applyAlignment="0" applyProtection="0">
      <alignment vertical="center"/>
    </xf>
    <xf numFmtId="0" fontId="115" fillId="61" borderId="0" applyNumberFormat="0" applyBorder="0" applyAlignment="0" applyProtection="0">
      <alignment vertical="center"/>
    </xf>
    <xf numFmtId="0" fontId="115" fillId="10" borderId="0" applyNumberFormat="0" applyBorder="0" applyAlignment="0" applyProtection="0">
      <alignment vertical="center"/>
    </xf>
    <xf numFmtId="0" fontId="112" fillId="62" borderId="0" applyNumberFormat="0" applyBorder="0" applyAlignment="0" applyProtection="0">
      <alignment vertical="center"/>
    </xf>
    <xf numFmtId="0" fontId="115" fillId="63" borderId="0" applyNumberFormat="0" applyBorder="0" applyAlignment="0" applyProtection="0">
      <alignment vertical="center"/>
    </xf>
  </cellStyleXfs>
  <cellXfs count="541">
    <xf numFmtId="0" fontId="0" fillId="0" borderId="0" xfId="0" applyAlignment="1"/>
    <xf numFmtId="0" fontId="1" fillId="0" borderId="0" xfId="0" applyFont="1" applyFill="1" applyAlignment="1"/>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2" xfId="0" applyBorder="1" applyAlignment="1">
      <alignment vertical="center"/>
    </xf>
    <xf numFmtId="0" fontId="0" fillId="0" borderId="2" xfId="0" applyBorder="1" applyAlignment="1"/>
    <xf numFmtId="0" fontId="0" fillId="0" borderId="2" xfId="0" applyBorder="1" applyAlignment="1">
      <alignment horizontal="right" vertical="center"/>
    </xf>
    <xf numFmtId="0" fontId="4" fillId="0" borderId="2" xfId="0" applyFont="1" applyFill="1" applyBorder="1" applyAlignment="1"/>
    <xf numFmtId="176" fontId="0" fillId="0" borderId="2" xfId="0" applyNumberFormat="1" applyBorder="1" applyAlignment="1">
      <alignment vertical="center"/>
    </xf>
    <xf numFmtId="178" fontId="0" fillId="0" borderId="2" xfId="0" applyNumberFormat="1" applyBorder="1" applyAlignment="1"/>
    <xf numFmtId="176" fontId="0" fillId="0" borderId="2" xfId="0" applyNumberFormat="1" applyBorder="1" applyAlignment="1"/>
    <xf numFmtId="0" fontId="0" fillId="0" borderId="2" xfId="0" applyBorder="1" applyAlignment="1">
      <alignment horizontal="left"/>
    </xf>
    <xf numFmtId="179" fontId="0" fillId="0" borderId="2" xfId="0" applyNumberFormat="1" applyBorder="1" applyAlignment="1"/>
    <xf numFmtId="0" fontId="0" fillId="0" borderId="2" xfId="0" applyBorder="1" applyAlignment="1">
      <alignment horizontal="center"/>
    </xf>
    <xf numFmtId="179" fontId="0" fillId="0" borderId="0" xfId="0" applyNumberFormat="1" applyAlignment="1"/>
    <xf numFmtId="0" fontId="0" fillId="0" borderId="2" xfId="0" applyBorder="1" applyAlignment="1">
      <alignment horizontal="center" vertical="center" wrapText="1"/>
    </xf>
    <xf numFmtId="0" fontId="5" fillId="0" borderId="2" xfId="0" applyFont="1" applyBorder="1" applyAlignment="1">
      <alignment horizontal="left" vertical="center" wrapText="1"/>
    </xf>
    <xf numFmtId="0" fontId="6" fillId="0" borderId="2" xfId="0" applyFont="1" applyBorder="1" applyAlignment="1">
      <alignment horizontal="left" vertical="center" wrapText="1"/>
    </xf>
    <xf numFmtId="0" fontId="0" fillId="0" borderId="2" xfId="0" applyFill="1" applyBorder="1" applyAlignment="1">
      <alignment horizontal="right" vertical="center"/>
    </xf>
    <xf numFmtId="0" fontId="0" fillId="0" borderId="3" xfId="0" applyBorder="1" applyAlignment="1">
      <alignment horizontal="center"/>
    </xf>
    <xf numFmtId="0" fontId="0" fillId="0" borderId="3" xfId="0" applyFont="1" applyBorder="1" applyAlignment="1">
      <alignment horizontal="center" vertical="center"/>
    </xf>
    <xf numFmtId="0" fontId="7" fillId="0" borderId="3" xfId="0" applyFont="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Fill="1" applyBorder="1" applyAlignment="1" applyProtection="1">
      <alignment horizontal="center" vertical="center" wrapText="1"/>
    </xf>
    <xf numFmtId="176" fontId="0" fillId="0" borderId="0" xfId="0" applyNumberFormat="1" applyAlignment="1"/>
    <xf numFmtId="0" fontId="0" fillId="0" borderId="0" xfId="0" applyAlignment="1">
      <alignment wrapText="1"/>
    </xf>
    <xf numFmtId="176" fontId="10" fillId="0" borderId="0" xfId="0" applyNumberFormat="1" applyFont="1" applyFill="1" applyAlignment="1">
      <alignment vertical="center"/>
    </xf>
    <xf numFmtId="0" fontId="10" fillId="0" borderId="0" xfId="0" applyFont="1" applyFill="1" applyAlignment="1">
      <alignment vertical="center" wrapText="1"/>
    </xf>
    <xf numFmtId="0" fontId="10" fillId="0" borderId="0" xfId="0" applyFont="1" applyFill="1" applyAlignment="1">
      <alignment vertical="center"/>
    </xf>
    <xf numFmtId="0" fontId="0" fillId="2" borderId="0" xfId="0" applyFill="1" applyAlignment="1"/>
    <xf numFmtId="0" fontId="0" fillId="2" borderId="0" xfId="0" applyFill="1" applyAlignment="1" applyProtection="1">
      <protection locked="0"/>
    </xf>
    <xf numFmtId="0" fontId="0" fillId="0" borderId="0" xfId="0" applyAlignment="1" applyProtection="1">
      <protection locked="0"/>
    </xf>
    <xf numFmtId="0" fontId="0" fillId="2" borderId="0" xfId="0" applyFill="1" applyAlignment="1" applyProtection="1">
      <alignment wrapText="1"/>
      <protection locked="0"/>
    </xf>
    <xf numFmtId="0" fontId="0" fillId="3" borderId="0" xfId="0" applyFill="1" applyAlignment="1" applyProtection="1">
      <protection locked="0"/>
    </xf>
    <xf numFmtId="0" fontId="11" fillId="4" borderId="2" xfId="0" applyFont="1" applyFill="1" applyBorder="1" applyAlignment="1" applyProtection="1">
      <alignment horizontal="center" vertical="top" wrapText="1"/>
      <protection locked="0"/>
    </xf>
    <xf numFmtId="0" fontId="12" fillId="5" borderId="2" xfId="0" applyFont="1" applyFill="1" applyBorder="1" applyAlignment="1" applyProtection="1">
      <alignment vertical="center" wrapText="1"/>
      <protection locked="0"/>
    </xf>
    <xf numFmtId="0" fontId="13" fillId="6" borderId="2" xfId="0" applyFont="1" applyFill="1" applyBorder="1" applyAlignment="1" applyProtection="1">
      <alignment vertical="center"/>
      <protection locked="0"/>
    </xf>
    <xf numFmtId="0" fontId="10" fillId="7" borderId="0" xfId="0" applyNumberFormat="1" applyFont="1" applyFill="1" applyAlignment="1" applyProtection="1">
      <alignment horizontal="left" vertical="center"/>
      <protection locked="0"/>
    </xf>
    <xf numFmtId="176" fontId="10" fillId="7" borderId="0" xfId="0" applyNumberFormat="1" applyFont="1" applyFill="1" applyAlignment="1" applyProtection="1">
      <alignment horizontal="left" vertical="center"/>
      <protection locked="0"/>
    </xf>
    <xf numFmtId="0" fontId="14" fillId="5" borderId="2" xfId="0" applyFont="1" applyFill="1" applyBorder="1" applyAlignment="1" applyProtection="1">
      <alignment horizontal="left" vertical="top" wrapText="1"/>
      <protection locked="0"/>
    </xf>
    <xf numFmtId="0" fontId="12" fillId="2" borderId="2" xfId="0" applyFont="1" applyFill="1" applyBorder="1" applyAlignment="1" applyProtection="1">
      <alignment vertical="center" wrapText="1"/>
      <protection locked="0"/>
    </xf>
    <xf numFmtId="0" fontId="13" fillId="2" borderId="2" xfId="0" applyFont="1" applyFill="1" applyBorder="1" applyAlignment="1" applyProtection="1">
      <alignment vertical="center"/>
      <protection locked="0"/>
    </xf>
    <xf numFmtId="0" fontId="10" fillId="2" borderId="0" xfId="0" applyNumberFormat="1" applyFont="1" applyFill="1" applyAlignment="1" applyProtection="1">
      <alignment horizontal="left" vertical="center"/>
      <protection locked="0"/>
    </xf>
    <xf numFmtId="176" fontId="10" fillId="2" borderId="0" xfId="0" applyNumberFormat="1" applyFont="1" applyFill="1" applyAlignment="1" applyProtection="1">
      <alignment horizontal="left" vertical="center"/>
      <protection locked="0"/>
    </xf>
    <xf numFmtId="0" fontId="0" fillId="0" borderId="0" xfId="0" applyAlignment="1" applyProtection="1">
      <alignment wrapText="1"/>
      <protection locked="0"/>
    </xf>
    <xf numFmtId="0" fontId="15" fillId="0" borderId="0" xfId="0" applyFont="1" applyProtection="1">
      <alignment vertical="center"/>
      <protection locked="0"/>
    </xf>
    <xf numFmtId="0" fontId="15" fillId="0" borderId="4"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8" borderId="1" xfId="0" applyFont="1" applyFill="1" applyBorder="1" applyAlignment="1" applyProtection="1">
      <alignment horizontal="center" vertical="center" wrapText="1"/>
      <protection locked="0"/>
    </xf>
    <xf numFmtId="0" fontId="15" fillId="8" borderId="6" xfId="0" applyFont="1" applyFill="1" applyBorder="1" applyAlignment="1" applyProtection="1">
      <alignment horizontal="center" vertical="center" wrapText="1"/>
      <protection locked="0"/>
    </xf>
    <xf numFmtId="0" fontId="16" fillId="9" borderId="4" xfId="0" applyFont="1" applyFill="1" applyBorder="1" applyAlignment="1">
      <alignment horizontal="left" vertical="center" wrapText="1"/>
    </xf>
    <xf numFmtId="0" fontId="6" fillId="0" borderId="0" xfId="0" applyFont="1" applyAlignment="1">
      <alignment horizontal="justify" vertical="center"/>
    </xf>
    <xf numFmtId="176" fontId="17" fillId="10" borderId="2" xfId="0" applyNumberFormat="1" applyFont="1" applyFill="1" applyBorder="1" applyAlignment="1">
      <alignment horizontal="center" vertical="center" wrapText="1"/>
    </xf>
    <xf numFmtId="0" fontId="10" fillId="10" borderId="0" xfId="0" applyFont="1" applyFill="1" applyAlignment="1">
      <alignment vertical="center"/>
    </xf>
    <xf numFmtId="0" fontId="16" fillId="9" borderId="5" xfId="0" applyFont="1" applyFill="1" applyBorder="1" applyAlignment="1">
      <alignment horizontal="left" vertical="center" wrapText="1"/>
    </xf>
    <xf numFmtId="0" fontId="0" fillId="4" borderId="0" xfId="0" applyFill="1" applyAlignment="1" applyProtection="1">
      <protection locked="0"/>
    </xf>
    <xf numFmtId="0" fontId="10" fillId="11" borderId="0" xfId="0" applyFont="1" applyFill="1" applyAlignment="1" applyProtection="1">
      <alignment vertical="center"/>
      <protection locked="0"/>
    </xf>
    <xf numFmtId="0" fontId="10" fillId="2" borderId="0" xfId="0" applyFont="1" applyFill="1" applyAlignment="1" applyProtection="1">
      <alignment vertical="center"/>
      <protection locked="0"/>
    </xf>
    <xf numFmtId="0" fontId="10" fillId="2" borderId="0" xfId="0" applyFont="1" applyFill="1" applyAlignment="1">
      <alignment vertical="center"/>
    </xf>
    <xf numFmtId="0" fontId="10" fillId="12" borderId="0" xfId="0" applyFont="1" applyFill="1" applyAlignment="1" applyProtection="1">
      <alignment vertical="center"/>
      <protection locked="0"/>
    </xf>
    <xf numFmtId="0" fontId="10" fillId="3" borderId="0" xfId="0" applyFont="1" applyFill="1" applyAlignment="1" applyProtection="1">
      <alignment vertical="center"/>
      <protection locked="0"/>
    </xf>
    <xf numFmtId="0" fontId="15" fillId="0" borderId="4" xfId="0" applyFont="1" applyFill="1" applyBorder="1" applyAlignment="1" applyProtection="1">
      <alignment horizontal="center" vertical="center" wrapText="1"/>
      <protection locked="0"/>
    </xf>
    <xf numFmtId="0" fontId="15" fillId="0" borderId="7" xfId="0" applyFont="1" applyFill="1" applyBorder="1" applyAlignment="1" applyProtection="1">
      <alignment horizontal="center" vertical="center" wrapText="1"/>
      <protection locked="0"/>
    </xf>
    <xf numFmtId="0" fontId="15" fillId="0" borderId="0" xfId="0" applyFont="1" applyFill="1" applyAlignment="1" applyProtection="1">
      <alignment horizontal="center" vertical="center" wrapText="1"/>
      <protection locked="0"/>
    </xf>
    <xf numFmtId="0" fontId="15" fillId="3" borderId="0" xfId="0" applyFont="1" applyFill="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15" fillId="2" borderId="7" xfId="0" applyFont="1" applyFill="1" applyBorder="1" applyAlignment="1" applyProtection="1">
      <alignment horizontal="center" vertical="center" wrapText="1"/>
      <protection locked="0"/>
    </xf>
    <xf numFmtId="0" fontId="15" fillId="2" borderId="0" xfId="0" applyFont="1" applyFill="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15" fillId="0" borderId="9" xfId="0" applyFont="1" applyFill="1" applyBorder="1" applyAlignment="1" applyProtection="1">
      <alignment horizontal="center" vertical="center" wrapText="1"/>
      <protection locked="0"/>
    </xf>
    <xf numFmtId="0" fontId="15" fillId="0" borderId="6" xfId="0" applyFont="1" applyFill="1" applyBorder="1" applyAlignment="1" applyProtection="1">
      <alignment horizontal="center" vertical="center" wrapText="1"/>
      <protection locked="0"/>
    </xf>
    <xf numFmtId="0" fontId="15" fillId="0" borderId="10" xfId="0" applyFont="1" applyFill="1" applyBorder="1" applyAlignment="1" applyProtection="1">
      <alignment horizontal="center" vertical="center" wrapText="1"/>
      <protection locked="0"/>
    </xf>
    <xf numFmtId="0" fontId="15" fillId="8" borderId="9" xfId="0" applyFont="1" applyFill="1" applyBorder="1" applyAlignment="1" applyProtection="1">
      <alignment horizontal="center" vertical="center" wrapText="1"/>
      <protection locked="0"/>
    </xf>
    <xf numFmtId="0" fontId="15" fillId="8" borderId="0" xfId="0" applyFont="1" applyFill="1" applyAlignment="1" applyProtection="1">
      <alignment horizontal="center" vertical="center" wrapText="1"/>
      <protection locked="0"/>
    </xf>
    <xf numFmtId="0" fontId="15" fillId="8" borderId="10" xfId="0" applyFont="1" applyFill="1" applyBorder="1" applyAlignment="1" applyProtection="1">
      <alignment horizontal="center" vertical="center" wrapText="1"/>
      <protection locked="0"/>
    </xf>
    <xf numFmtId="0" fontId="18" fillId="3" borderId="0" xfId="10" applyFill="1" applyAlignment="1" applyProtection="1">
      <protection locked="0"/>
    </xf>
    <xf numFmtId="0" fontId="6" fillId="0" borderId="1" xfId="0" applyFont="1" applyBorder="1" applyAlignment="1">
      <alignment horizontal="left" vertical="center" wrapText="1"/>
    </xf>
    <xf numFmtId="0" fontId="6" fillId="0" borderId="6" xfId="0" applyFont="1" applyBorder="1" applyAlignment="1">
      <alignment horizontal="left" vertical="center" wrapText="1"/>
    </xf>
    <xf numFmtId="0" fontId="19" fillId="0" borderId="0" xfId="0" applyFont="1" applyAlignment="1">
      <alignment horizontal="justify" vertical="center"/>
    </xf>
    <xf numFmtId="0" fontId="0" fillId="0" borderId="0" xfId="0" applyAlignment="1" applyProtection="1">
      <alignment horizontal="left"/>
      <protection locked="0"/>
    </xf>
    <xf numFmtId="0" fontId="16" fillId="2" borderId="5" xfId="0" applyFont="1" applyFill="1" applyBorder="1" applyAlignment="1">
      <alignment horizontal="left" vertical="center" wrapText="1"/>
    </xf>
    <xf numFmtId="0" fontId="6" fillId="2" borderId="0" xfId="0" applyFont="1" applyFill="1" applyAlignment="1">
      <alignment horizontal="justify" vertical="center"/>
    </xf>
    <xf numFmtId="0" fontId="6" fillId="0" borderId="1" xfId="0" applyFont="1" applyBorder="1" applyAlignment="1">
      <alignment horizontal="center" vertical="center" wrapText="1"/>
    </xf>
    <xf numFmtId="0" fontId="6" fillId="0" borderId="0" xfId="0" applyFont="1" applyAlignment="1">
      <alignment horizontal="center" vertical="center" wrapText="1"/>
    </xf>
    <xf numFmtId="0" fontId="15" fillId="2" borderId="0" xfId="0" applyFont="1" applyFill="1" applyAlignment="1">
      <alignment horizontal="center" vertical="center" wrapText="1"/>
    </xf>
    <xf numFmtId="0" fontId="20" fillId="3" borderId="0" xfId="10" applyFont="1" applyFill="1" applyAlignment="1" applyProtection="1">
      <protection locked="0"/>
    </xf>
    <xf numFmtId="0" fontId="21" fillId="13" borderId="0" xfId="0" applyFont="1" applyFill="1" applyAlignment="1"/>
    <xf numFmtId="0" fontId="0" fillId="13" borderId="0" xfId="0" applyFill="1" applyAlignment="1"/>
    <xf numFmtId="0" fontId="21" fillId="2" borderId="0" xfId="0" applyFont="1" applyFill="1" applyAlignment="1"/>
    <xf numFmtId="0" fontId="21" fillId="14" borderId="0" xfId="0" applyFont="1" applyFill="1" applyAlignment="1"/>
    <xf numFmtId="0" fontId="0" fillId="14" borderId="0" xfId="0" applyFill="1" applyAlignment="1"/>
    <xf numFmtId="0" fontId="22" fillId="13" borderId="0" xfId="0" applyFont="1" applyFill="1" applyAlignment="1"/>
    <xf numFmtId="0" fontId="11"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2" xfId="0" applyFont="1" applyFill="1" applyBorder="1" applyAlignment="1">
      <alignment horizontal="center" vertical="center"/>
    </xf>
    <xf numFmtId="0" fontId="13" fillId="15" borderId="13" xfId="0" applyFont="1" applyFill="1" applyBorder="1" applyAlignment="1">
      <alignment horizontal="left" vertical="top" wrapText="1"/>
    </xf>
    <xf numFmtId="0" fontId="11" fillId="0" borderId="14" xfId="0" applyFont="1" applyFill="1" applyBorder="1" applyAlignment="1">
      <alignment horizontal="center" vertical="center" wrapText="1"/>
    </xf>
    <xf numFmtId="0" fontId="10" fillId="0" borderId="15" xfId="0" applyFont="1" applyFill="1" applyBorder="1" applyAlignment="1">
      <alignment horizontal="center" vertical="center"/>
    </xf>
    <xf numFmtId="0" fontId="14" fillId="15" borderId="2" xfId="0" applyFont="1" applyFill="1" applyBorder="1" applyAlignment="1">
      <alignment horizontal="justify" vertical="top"/>
    </xf>
    <xf numFmtId="0" fontId="10" fillId="0" borderId="14" xfId="0" applyFont="1" applyFill="1" applyBorder="1" applyAlignment="1">
      <alignment vertical="center"/>
    </xf>
    <xf numFmtId="0" fontId="11" fillId="0" borderId="2" xfId="0" applyFont="1" applyFill="1" applyBorder="1" applyAlignment="1">
      <alignment horizontal="center" vertical="top" wrapText="1"/>
    </xf>
    <xf numFmtId="0" fontId="10" fillId="0" borderId="2" xfId="0" applyFont="1" applyFill="1" applyBorder="1" applyAlignment="1">
      <alignment horizontal="center" vertical="center"/>
    </xf>
    <xf numFmtId="0" fontId="11" fillId="0" borderId="2" xfId="0" applyFont="1" applyFill="1" applyBorder="1" applyAlignment="1">
      <alignment vertical="top" wrapText="1"/>
    </xf>
    <xf numFmtId="0" fontId="13" fillId="0" borderId="2" xfId="0" applyFont="1" applyFill="1" applyBorder="1" applyAlignment="1">
      <alignment vertical="center" wrapText="1"/>
    </xf>
    <xf numFmtId="0" fontId="13" fillId="0" borderId="2" xfId="0" applyFont="1" applyFill="1" applyBorder="1" applyAlignment="1">
      <alignment vertical="center"/>
    </xf>
    <xf numFmtId="0" fontId="10" fillId="0" borderId="2" xfId="0" applyFont="1" applyFill="1" applyBorder="1" applyAlignment="1">
      <alignment vertical="center"/>
    </xf>
    <xf numFmtId="0" fontId="10" fillId="0" borderId="16" xfId="0" applyFont="1" applyFill="1" applyBorder="1" applyAlignment="1">
      <alignment vertical="center"/>
    </xf>
    <xf numFmtId="0" fontId="11" fillId="0" borderId="17" xfId="0" applyFont="1" applyFill="1" applyBorder="1" applyAlignment="1">
      <alignment horizontal="center" vertical="top" wrapText="1"/>
    </xf>
    <xf numFmtId="0" fontId="10" fillId="0" borderId="17" xfId="0" applyFont="1" applyFill="1" applyBorder="1" applyAlignment="1">
      <alignment vertical="center"/>
    </xf>
    <xf numFmtId="0" fontId="23" fillId="13" borderId="8" xfId="0" applyFont="1" applyFill="1" applyBorder="1" applyAlignment="1">
      <alignment horizontal="center" vertical="top" wrapText="1"/>
    </xf>
    <xf numFmtId="0" fontId="24" fillId="13" borderId="2" xfId="0" applyFont="1" applyFill="1" applyBorder="1" applyAlignment="1">
      <alignment vertical="center" wrapText="1"/>
    </xf>
    <xf numFmtId="0" fontId="24" fillId="13" borderId="2" xfId="0" applyFont="1" applyFill="1" applyBorder="1" applyAlignment="1">
      <alignment vertical="center"/>
    </xf>
    <xf numFmtId="0" fontId="25" fillId="13" borderId="2" xfId="0" applyFont="1" applyFill="1" applyBorder="1" applyAlignment="1">
      <alignment vertical="center"/>
    </xf>
    <xf numFmtId="0" fontId="13" fillId="16" borderId="13" xfId="0" applyFont="1" applyFill="1" applyBorder="1" applyAlignment="1">
      <alignment horizontal="left" vertical="top" wrapText="1"/>
    </xf>
    <xf numFmtId="0" fontId="26" fillId="17" borderId="13" xfId="0" applyFont="1" applyFill="1" applyBorder="1" applyAlignment="1">
      <alignment horizontal="left" vertical="top" wrapText="1"/>
    </xf>
    <xf numFmtId="0" fontId="14" fillId="16" borderId="2" xfId="0" applyFont="1" applyFill="1" applyBorder="1" applyAlignment="1">
      <alignment horizontal="justify" vertical="top"/>
    </xf>
    <xf numFmtId="0" fontId="14" fillId="17" borderId="2" xfId="0" applyFont="1" applyFill="1" applyBorder="1" applyAlignment="1">
      <alignment horizontal="justify" vertical="top"/>
    </xf>
    <xf numFmtId="0" fontId="13" fillId="18" borderId="13" xfId="0" applyFont="1" applyFill="1" applyBorder="1" applyAlignment="1">
      <alignment horizontal="left" vertical="top" wrapText="1"/>
    </xf>
    <xf numFmtId="0" fontId="13" fillId="19" borderId="13" xfId="0" applyFont="1" applyFill="1" applyBorder="1" applyAlignment="1">
      <alignment horizontal="left" vertical="top" wrapText="1"/>
    </xf>
    <xf numFmtId="0" fontId="13" fillId="4" borderId="13" xfId="0" applyFont="1" applyFill="1" applyBorder="1" applyAlignment="1">
      <alignment horizontal="left" vertical="top" wrapText="1"/>
    </xf>
    <xf numFmtId="0" fontId="14" fillId="18" borderId="2" xfId="0" applyFont="1" applyFill="1" applyBorder="1" applyAlignment="1">
      <alignment horizontal="justify" vertical="top"/>
    </xf>
    <xf numFmtId="0" fontId="14" fillId="19" borderId="2" xfId="0" applyFont="1" applyFill="1" applyBorder="1" applyAlignment="1">
      <alignment horizontal="justify" vertical="top"/>
    </xf>
    <xf numFmtId="0" fontId="14" fillId="4" borderId="2" xfId="0" applyFont="1" applyFill="1" applyBorder="1" applyAlignment="1">
      <alignment horizontal="justify" vertical="top"/>
    </xf>
    <xf numFmtId="0" fontId="13" fillId="6" borderId="13" xfId="0" applyFont="1" applyFill="1" applyBorder="1" applyAlignment="1">
      <alignment horizontal="left" vertical="top" wrapText="1"/>
    </xf>
    <xf numFmtId="0" fontId="13" fillId="20" borderId="13" xfId="0" applyFont="1" applyFill="1" applyBorder="1" applyAlignment="1">
      <alignment horizontal="left" vertical="top" wrapText="1"/>
    </xf>
    <xf numFmtId="0" fontId="14" fillId="6" borderId="2" xfId="0" applyFont="1" applyFill="1" applyBorder="1" applyAlignment="1">
      <alignment horizontal="justify" vertical="top"/>
    </xf>
    <xf numFmtId="0" fontId="14" fillId="20" borderId="2" xfId="0" applyFont="1" applyFill="1" applyBorder="1" applyAlignment="1">
      <alignment horizontal="justify" vertical="top"/>
    </xf>
    <xf numFmtId="0" fontId="13" fillId="21" borderId="13" xfId="0" applyFont="1" applyFill="1" applyBorder="1" applyAlignment="1">
      <alignment horizontal="left" vertical="top" wrapText="1"/>
    </xf>
    <xf numFmtId="0" fontId="13" fillId="22" borderId="13" xfId="0" applyFont="1" applyFill="1" applyBorder="1" applyAlignment="1">
      <alignment horizontal="left" vertical="top" wrapText="1"/>
    </xf>
    <xf numFmtId="0" fontId="14" fillId="21" borderId="2" xfId="0" applyFont="1" applyFill="1" applyBorder="1" applyAlignment="1">
      <alignment horizontal="justify" vertical="top"/>
    </xf>
    <xf numFmtId="0" fontId="14" fillId="22" borderId="2" xfId="0" applyFont="1" applyFill="1" applyBorder="1" applyAlignment="1">
      <alignment horizontal="justify" vertical="top"/>
    </xf>
    <xf numFmtId="0" fontId="13" fillId="15" borderId="18" xfId="0" applyFont="1" applyFill="1" applyBorder="1" applyAlignment="1">
      <alignment horizontal="left" vertical="top" wrapText="1"/>
    </xf>
    <xf numFmtId="0" fontId="10" fillId="0" borderId="19" xfId="0" applyFont="1" applyFill="1" applyBorder="1" applyAlignment="1">
      <alignment vertical="center"/>
    </xf>
    <xf numFmtId="0" fontId="10" fillId="0" borderId="20" xfId="0" applyFont="1" applyFill="1" applyBorder="1" applyAlignment="1">
      <alignment vertical="center"/>
    </xf>
    <xf numFmtId="0" fontId="25" fillId="13" borderId="19" xfId="0" applyFont="1" applyFill="1" applyBorder="1" applyAlignment="1">
      <alignment vertical="center"/>
    </xf>
    <xf numFmtId="0" fontId="27" fillId="13" borderId="2" xfId="0" applyFont="1" applyFill="1" applyBorder="1" applyAlignment="1">
      <alignment horizontal="center" vertical="top" wrapText="1"/>
    </xf>
    <xf numFmtId="0" fontId="28" fillId="13" borderId="8" xfId="0" applyFont="1" applyFill="1" applyBorder="1" applyAlignment="1">
      <alignment horizontal="center" vertical="top" wrapText="1"/>
    </xf>
    <xf numFmtId="0" fontId="28" fillId="13" borderId="4" xfId="0" applyFont="1" applyFill="1" applyBorder="1" applyAlignment="1">
      <alignment horizontal="center" vertical="top" wrapText="1"/>
    </xf>
    <xf numFmtId="0" fontId="28" fillId="13" borderId="7" xfId="0" applyFont="1" applyFill="1" applyBorder="1" applyAlignment="1">
      <alignment horizontal="center" vertical="top" wrapText="1"/>
    </xf>
    <xf numFmtId="0" fontId="28" fillId="13" borderId="21" xfId="0" applyFont="1" applyFill="1" applyBorder="1" applyAlignment="1">
      <alignment horizontal="justify" vertical="top" wrapText="1"/>
    </xf>
    <xf numFmtId="0" fontId="10" fillId="13" borderId="2" xfId="0" applyFont="1" applyFill="1" applyBorder="1" applyAlignment="1">
      <alignment vertical="center"/>
    </xf>
    <xf numFmtId="0" fontId="23" fillId="13" borderId="5" xfId="0" applyFont="1" applyFill="1" applyBorder="1" applyAlignment="1">
      <alignment horizontal="center" vertical="top" wrapText="1"/>
    </xf>
    <xf numFmtId="0" fontId="23" fillId="13" borderId="22" xfId="0" applyFont="1" applyFill="1" applyBorder="1" applyAlignment="1">
      <alignment horizontal="justify" vertical="top" wrapText="1"/>
    </xf>
    <xf numFmtId="0" fontId="21" fillId="13" borderId="2" xfId="0" applyFont="1" applyFill="1" applyBorder="1" applyAlignment="1"/>
    <xf numFmtId="0" fontId="28" fillId="13" borderId="5" xfId="0" applyFont="1" applyFill="1" applyBorder="1" applyAlignment="1">
      <alignment horizontal="center" vertical="top" wrapText="1"/>
    </xf>
    <xf numFmtId="0" fontId="28" fillId="13" borderId="22" xfId="0" applyFont="1" applyFill="1" applyBorder="1" applyAlignment="1">
      <alignment horizontal="justify" vertical="top" wrapText="1"/>
    </xf>
    <xf numFmtId="0" fontId="0" fillId="13" borderId="2" xfId="0" applyFill="1" applyBorder="1" applyAlignment="1"/>
    <xf numFmtId="0" fontId="23" fillId="2" borderId="8" xfId="0" applyFont="1" applyFill="1" applyBorder="1" applyAlignment="1">
      <alignment horizontal="center" vertical="top" wrapText="1"/>
    </xf>
    <xf numFmtId="0" fontId="23" fillId="2" borderId="5" xfId="0" applyFont="1" applyFill="1" applyBorder="1" applyAlignment="1">
      <alignment horizontal="center" vertical="top" wrapText="1"/>
    </xf>
    <xf numFmtId="0" fontId="23" fillId="2" borderId="22" xfId="0" applyFont="1" applyFill="1" applyBorder="1" applyAlignment="1">
      <alignment horizontal="justify" vertical="top" wrapText="1"/>
    </xf>
    <xf numFmtId="0" fontId="25" fillId="2" borderId="2" xfId="0" applyFont="1" applyFill="1" applyBorder="1" applyAlignment="1">
      <alignment vertical="center"/>
    </xf>
    <xf numFmtId="0" fontId="28" fillId="2" borderId="8"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8" xfId="0" applyFont="1" applyFill="1" applyBorder="1" applyAlignment="1">
      <alignment horizontal="center" vertical="top" wrapText="1"/>
    </xf>
    <xf numFmtId="0" fontId="29" fillId="2" borderId="22" xfId="0" applyFont="1" applyFill="1" applyBorder="1" applyAlignment="1">
      <alignment horizontal="justify" vertical="top" wrapText="1"/>
    </xf>
    <xf numFmtId="0" fontId="0" fillId="2" borderId="2" xfId="0" applyFill="1" applyBorder="1" applyAlignment="1"/>
    <xf numFmtId="0" fontId="23" fillId="13" borderId="1" xfId="0" applyFont="1" applyFill="1" applyBorder="1" applyAlignment="1">
      <alignment horizontal="center" vertical="center" wrapText="1"/>
    </xf>
    <xf numFmtId="0" fontId="23" fillId="13" borderId="23" xfId="0" applyFont="1" applyFill="1" applyBorder="1" applyAlignment="1">
      <alignment horizontal="justify" vertical="center" wrapText="1"/>
    </xf>
    <xf numFmtId="0" fontId="23" fillId="13" borderId="6" xfId="0" applyFont="1" applyFill="1" applyBorder="1" applyAlignment="1">
      <alignment horizontal="center" vertical="center" wrapText="1"/>
    </xf>
    <xf numFmtId="0" fontId="23" fillId="13" borderId="24" xfId="0" applyFont="1" applyFill="1" applyBorder="1" applyAlignment="1">
      <alignment horizontal="justify" vertical="center" wrapText="1"/>
    </xf>
    <xf numFmtId="0" fontId="25" fillId="13" borderId="17" xfId="0" applyFont="1" applyFill="1" applyBorder="1" applyAlignment="1">
      <alignment vertical="center"/>
    </xf>
    <xf numFmtId="0" fontId="23" fillId="14" borderId="8" xfId="0" applyFont="1" applyFill="1" applyBorder="1" applyAlignment="1">
      <alignment horizontal="center" vertical="top" wrapText="1"/>
    </xf>
    <xf numFmtId="0" fontId="23" fillId="14" borderId="6" xfId="0" applyFont="1" applyFill="1" applyBorder="1" applyAlignment="1">
      <alignment horizontal="center" vertical="center" wrapText="1"/>
    </xf>
    <xf numFmtId="0" fontId="23" fillId="14" borderId="24" xfId="0" applyFont="1" applyFill="1" applyBorder="1" applyAlignment="1">
      <alignment horizontal="justify" vertical="center" wrapText="1"/>
    </xf>
    <xf numFmtId="0" fontId="25" fillId="14" borderId="2" xfId="0" applyFont="1" applyFill="1" applyBorder="1" applyAlignment="1">
      <alignment vertical="center"/>
    </xf>
    <xf numFmtId="0" fontId="28" fillId="14" borderId="8" xfId="0" applyFont="1" applyFill="1" applyBorder="1" applyAlignment="1">
      <alignment horizontal="center" vertical="top" wrapText="1"/>
    </xf>
    <xf numFmtId="0" fontId="28" fillId="14" borderId="6" xfId="0" applyFont="1" applyFill="1" applyBorder="1" applyAlignment="1">
      <alignment horizontal="center" vertical="center" wrapText="1"/>
    </xf>
    <xf numFmtId="0" fontId="28" fillId="14" borderId="24" xfId="0" applyFont="1" applyFill="1" applyBorder="1" applyAlignment="1">
      <alignment horizontal="justify" vertical="center" wrapText="1"/>
    </xf>
    <xf numFmtId="0" fontId="0" fillId="14" borderId="2" xfId="0" applyFill="1" applyBorder="1" applyAlignment="1"/>
    <xf numFmtId="0" fontId="29" fillId="14" borderId="8" xfId="0" applyFont="1" applyFill="1" applyBorder="1" applyAlignment="1">
      <alignment horizontal="center" vertical="top" wrapText="1"/>
    </xf>
    <xf numFmtId="0" fontId="29" fillId="14" borderId="6" xfId="0" applyFont="1" applyFill="1" applyBorder="1" applyAlignment="1">
      <alignment horizontal="center" vertical="center" wrapText="1"/>
    </xf>
    <xf numFmtId="0" fontId="29" fillId="14" borderId="24" xfId="0" applyFont="1" applyFill="1" applyBorder="1" applyAlignment="1">
      <alignment horizontal="justify" vertical="center" wrapText="1"/>
    </xf>
    <xf numFmtId="0" fontId="23" fillId="14" borderId="1" xfId="0" applyFont="1" applyFill="1" applyBorder="1" applyAlignment="1">
      <alignment horizontal="center" vertical="center" wrapText="1"/>
    </xf>
    <xf numFmtId="0" fontId="23" fillId="14" borderId="23" xfId="0" applyFont="1" applyFill="1" applyBorder="1" applyAlignment="1">
      <alignment horizontal="left" vertical="center" wrapText="1"/>
    </xf>
    <xf numFmtId="0" fontId="29" fillId="13" borderId="8" xfId="0" applyFont="1" applyFill="1" applyBorder="1" applyAlignment="1">
      <alignment horizontal="center" vertical="top" wrapText="1"/>
    </xf>
    <xf numFmtId="0" fontId="29" fillId="13" borderId="6" xfId="0" applyFont="1" applyFill="1" applyBorder="1" applyAlignment="1">
      <alignment horizontal="center" vertical="center" wrapText="1"/>
    </xf>
    <xf numFmtId="0" fontId="29" fillId="13" borderId="24" xfId="0" applyFont="1" applyFill="1" applyBorder="1" applyAlignment="1">
      <alignment horizontal="left" vertical="center" wrapText="1"/>
    </xf>
    <xf numFmtId="0" fontId="29" fillId="13" borderId="0" xfId="0" applyFont="1" applyFill="1" applyAlignment="1"/>
    <xf numFmtId="0" fontId="29" fillId="13" borderId="1" xfId="0" applyFont="1" applyFill="1" applyBorder="1" applyAlignment="1">
      <alignment horizontal="center" vertical="center" wrapText="1"/>
    </xf>
    <xf numFmtId="0" fontId="29" fillId="13" borderId="23" xfId="0" applyFont="1" applyFill="1" applyBorder="1" applyAlignment="1">
      <alignment horizontal="left" vertical="center" wrapText="1"/>
    </xf>
    <xf numFmtId="0" fontId="23" fillId="13" borderId="0" xfId="0" applyFont="1" applyFill="1" applyAlignment="1"/>
    <xf numFmtId="0" fontId="23" fillId="13" borderId="23" xfId="0" applyFont="1" applyFill="1" applyBorder="1" applyAlignment="1">
      <alignment horizontal="left" vertical="center" wrapText="1"/>
    </xf>
    <xf numFmtId="0" fontId="28" fillId="13" borderId="0" xfId="0" applyFont="1" applyFill="1" applyAlignment="1"/>
    <xf numFmtId="0" fontId="28" fillId="13" borderId="1" xfId="0" applyFont="1" applyFill="1" applyBorder="1" applyAlignment="1">
      <alignment horizontal="center" vertical="center" wrapText="1"/>
    </xf>
    <xf numFmtId="0" fontId="28" fillId="13" borderId="23" xfId="0" applyFont="1" applyFill="1" applyBorder="1" applyAlignment="1">
      <alignment horizontal="left" vertical="center" wrapText="1"/>
    </xf>
    <xf numFmtId="0" fontId="28" fillId="14" borderId="1" xfId="0" applyFont="1" applyFill="1" applyBorder="1" applyAlignment="1">
      <alignment horizontal="center" vertical="center" wrapText="1"/>
    </xf>
    <xf numFmtId="0" fontId="28" fillId="14" borderId="23" xfId="0" applyFont="1" applyFill="1" applyBorder="1" applyAlignment="1">
      <alignment horizontal="left" vertical="center" wrapText="1"/>
    </xf>
    <xf numFmtId="0" fontId="23" fillId="14" borderId="24" xfId="0" applyFont="1" applyFill="1" applyBorder="1" applyAlignment="1">
      <alignment horizontal="left" vertical="center" wrapText="1"/>
    </xf>
    <xf numFmtId="0" fontId="23" fillId="13" borderId="24" xfId="0" applyFont="1" applyFill="1" applyBorder="1" applyAlignment="1">
      <alignment horizontal="left" vertical="center" wrapText="1"/>
    </xf>
    <xf numFmtId="0" fontId="30" fillId="13" borderId="8" xfId="0" applyFont="1" applyFill="1" applyBorder="1" applyAlignment="1">
      <alignment horizontal="center" vertical="top" wrapText="1"/>
    </xf>
    <xf numFmtId="0" fontId="30" fillId="13" borderId="6" xfId="0" applyFont="1" applyFill="1" applyBorder="1" applyAlignment="1">
      <alignment horizontal="center" vertical="center" wrapText="1"/>
    </xf>
    <xf numFmtId="0" fontId="30" fillId="13" borderId="24" xfId="0" applyFont="1" applyFill="1" applyBorder="1" applyAlignment="1">
      <alignment horizontal="left" vertical="center" wrapText="1"/>
    </xf>
    <xf numFmtId="0" fontId="22" fillId="13" borderId="2" xfId="0" applyFont="1" applyFill="1" applyBorder="1" applyAlignment="1"/>
    <xf numFmtId="0" fontId="28" fillId="14" borderId="24" xfId="0" applyFont="1" applyFill="1" applyBorder="1" applyAlignment="1">
      <alignment horizontal="left" vertical="center" wrapText="1"/>
    </xf>
    <xf numFmtId="0" fontId="28" fillId="13" borderId="6" xfId="0" applyFont="1" applyFill="1" applyBorder="1" applyAlignment="1">
      <alignment horizontal="center" vertical="center" wrapText="1"/>
    </xf>
    <xf numFmtId="0" fontId="28" fillId="13" borderId="24" xfId="0" applyFont="1" applyFill="1" applyBorder="1" applyAlignment="1">
      <alignment horizontal="left" vertical="center" wrapText="1"/>
    </xf>
    <xf numFmtId="0" fontId="29" fillId="14" borderId="24" xfId="0" applyFont="1" applyFill="1" applyBorder="1" applyAlignment="1">
      <alignment horizontal="left" vertical="center" wrapText="1"/>
    </xf>
    <xf numFmtId="0" fontId="0" fillId="5" borderId="0" xfId="0" applyFill="1" applyAlignment="1"/>
    <xf numFmtId="0" fontId="25" fillId="14" borderId="0" xfId="0" applyFont="1" applyFill="1" applyAlignment="1">
      <alignment vertical="center"/>
    </xf>
    <xf numFmtId="0" fontId="31" fillId="13" borderId="2" xfId="0" applyFont="1" applyFill="1" applyBorder="1" applyAlignment="1">
      <alignment vertical="center"/>
    </xf>
    <xf numFmtId="0" fontId="32" fillId="13" borderId="2" xfId="0" applyFont="1" applyFill="1" applyBorder="1" applyAlignment="1"/>
    <xf numFmtId="0" fontId="31" fillId="14" borderId="2" xfId="0" applyFont="1" applyFill="1" applyBorder="1" applyAlignment="1">
      <alignment vertical="center"/>
    </xf>
    <xf numFmtId="0" fontId="32" fillId="14" borderId="2" xfId="0" applyFont="1" applyFill="1" applyBorder="1" applyAlignment="1"/>
    <xf numFmtId="0" fontId="10" fillId="13" borderId="19" xfId="0" applyFont="1" applyFill="1" applyBorder="1" applyAlignment="1">
      <alignment vertical="center"/>
    </xf>
    <xf numFmtId="0" fontId="25" fillId="2" borderId="19" xfId="0" applyFont="1" applyFill="1" applyBorder="1" applyAlignment="1">
      <alignment vertical="center"/>
    </xf>
    <xf numFmtId="0" fontId="25" fillId="13" borderId="20" xfId="0" applyFont="1" applyFill="1" applyBorder="1" applyAlignment="1">
      <alignment vertical="center"/>
    </xf>
    <xf numFmtId="0" fontId="25" fillId="14" borderId="19" xfId="0" applyFont="1" applyFill="1" applyBorder="1" applyAlignment="1">
      <alignment vertical="center"/>
    </xf>
    <xf numFmtId="0" fontId="33" fillId="0" borderId="0" xfId="0" applyFont="1" applyAlignment="1"/>
    <xf numFmtId="0" fontId="34" fillId="0" borderId="0" xfId="0" applyFont="1" applyFill="1" applyAlignment="1">
      <alignment horizontal="right" vertical="center"/>
    </xf>
    <xf numFmtId="0" fontId="35" fillId="0" borderId="0" xfId="0" applyFont="1" applyFill="1" applyAlignment="1">
      <alignment horizontal="right" vertical="center"/>
    </xf>
    <xf numFmtId="0" fontId="36" fillId="0" borderId="0" xfId="0" applyFont="1" applyFill="1" applyAlignment="1">
      <alignment horizontal="left" vertical="center"/>
    </xf>
    <xf numFmtId="0" fontId="37" fillId="0" borderId="0" xfId="0" applyFont="1" applyFill="1" applyAlignment="1">
      <alignment horizontal="left" vertical="center"/>
    </xf>
    <xf numFmtId="0" fontId="38" fillId="0" borderId="0" xfId="0" applyFont="1" applyAlignment="1">
      <alignment horizontal="right"/>
    </xf>
    <xf numFmtId="0" fontId="33" fillId="0" borderId="0" xfId="0" applyFont="1" applyAlignment="1">
      <alignment horizontal="left"/>
    </xf>
    <xf numFmtId="0" fontId="33" fillId="0" borderId="2" xfId="0" applyFont="1" applyBorder="1" applyAlignment="1">
      <alignment horizontal="center" vertical="center"/>
    </xf>
    <xf numFmtId="0" fontId="33" fillId="0" borderId="25" xfId="0" applyFont="1" applyBorder="1" applyAlignment="1">
      <alignment horizontal="center" vertical="center"/>
    </xf>
    <xf numFmtId="0" fontId="33" fillId="0" borderId="26" xfId="0" applyFont="1" applyBorder="1" applyAlignment="1">
      <alignment horizontal="center" vertical="center"/>
    </xf>
    <xf numFmtId="0" fontId="33" fillId="0" borderId="27" xfId="0" applyFont="1" applyBorder="1" applyAlignment="1">
      <alignment horizontal="center" vertical="center"/>
    </xf>
    <xf numFmtId="0" fontId="33" fillId="0" borderId="28" xfId="0" applyFont="1" applyBorder="1" applyAlignment="1">
      <alignment horizontal="center" vertical="center"/>
    </xf>
    <xf numFmtId="0" fontId="33" fillId="0" borderId="29" xfId="0" applyFont="1" applyBorder="1" applyAlignment="1">
      <alignment horizontal="center" vertical="center"/>
    </xf>
    <xf numFmtId="0" fontId="33" fillId="0" borderId="30" xfId="0" applyFont="1" applyBorder="1" applyAlignment="1">
      <alignment horizontal="center" vertical="center"/>
    </xf>
    <xf numFmtId="9" fontId="33" fillId="0" borderId="2" xfId="0" applyNumberFormat="1" applyFont="1" applyBorder="1" applyAlignment="1">
      <alignment horizontal="center" vertical="center"/>
    </xf>
    <xf numFmtId="0" fontId="33" fillId="0" borderId="31" xfId="0" applyFont="1" applyBorder="1" applyAlignment="1">
      <alignment horizontal="center" vertical="center"/>
    </xf>
    <xf numFmtId="0" fontId="33" fillId="0" borderId="32" xfId="0" applyFont="1" applyBorder="1" applyAlignment="1">
      <alignment horizontal="center" vertical="center"/>
    </xf>
    <xf numFmtId="0" fontId="33" fillId="0" borderId="33" xfId="0" applyFont="1" applyBorder="1" applyAlignment="1">
      <alignment horizontal="center" vertical="center"/>
    </xf>
    <xf numFmtId="0" fontId="39" fillId="13" borderId="2" xfId="0" applyFont="1" applyFill="1" applyBorder="1" applyAlignment="1" applyProtection="1">
      <alignment horizontal="center" vertical="center"/>
    </xf>
    <xf numFmtId="0" fontId="40" fillId="13" borderId="2" xfId="0" applyFont="1" applyFill="1" applyBorder="1" applyAlignment="1" applyProtection="1">
      <alignment horizontal="center" vertical="center"/>
    </xf>
    <xf numFmtId="0" fontId="6" fillId="0" borderId="2" xfId="0" applyFont="1" applyBorder="1" applyAlignment="1">
      <alignment horizontal="center" vertical="center"/>
    </xf>
    <xf numFmtId="180" fontId="6" fillId="0" borderId="2" xfId="0" applyNumberFormat="1" applyFont="1" applyBorder="1" applyAlignment="1">
      <alignment horizontal="center" vertical="center"/>
    </xf>
    <xf numFmtId="0" fontId="41" fillId="0" borderId="2" xfId="0" applyFont="1" applyFill="1" applyBorder="1" applyAlignment="1" applyProtection="1">
      <alignment horizontal="center" vertical="center"/>
    </xf>
    <xf numFmtId="0" fontId="40" fillId="0" borderId="2" xfId="0" applyFont="1" applyFill="1" applyBorder="1" applyAlignment="1" applyProtection="1">
      <alignment horizontal="center" vertical="center"/>
    </xf>
    <xf numFmtId="0" fontId="40" fillId="0" borderId="2" xfId="0" applyFont="1" applyFill="1" applyBorder="1" applyAlignment="1">
      <alignment horizontal="center" vertical="center"/>
    </xf>
    <xf numFmtId="0" fontId="41" fillId="0" borderId="2" xfId="0" applyFont="1" applyFill="1" applyBorder="1" applyAlignment="1">
      <alignment horizontal="center" vertical="center"/>
    </xf>
    <xf numFmtId="0" fontId="33" fillId="0" borderId="2" xfId="0" applyFont="1" applyBorder="1" applyAlignment="1">
      <alignment horizontal="center" vertical="center" wrapText="1"/>
    </xf>
    <xf numFmtId="176" fontId="6" fillId="0" borderId="2" xfId="0" applyNumberFormat="1" applyFont="1" applyBorder="1" applyAlignment="1">
      <alignment horizontal="center" vertical="center"/>
    </xf>
    <xf numFmtId="179" fontId="6" fillId="0" borderId="2" xfId="0" applyNumberFormat="1" applyFont="1" applyBorder="1" applyAlignment="1">
      <alignment horizontal="center" vertical="center"/>
    </xf>
    <xf numFmtId="0" fontId="42" fillId="0" borderId="0" xfId="0" applyFont="1" applyAlignment="1">
      <alignment horizontal="right"/>
    </xf>
    <xf numFmtId="0" fontId="43" fillId="0" borderId="0" xfId="0" applyFont="1" applyAlignment="1">
      <alignment horizontal="left"/>
    </xf>
    <xf numFmtId="0" fontId="0" fillId="23" borderId="2" xfId="0" applyFill="1" applyBorder="1" applyAlignment="1" applyProtection="1">
      <alignment horizontal="center" vertical="center"/>
    </xf>
    <xf numFmtId="0" fontId="0" fillId="23" borderId="0" xfId="0" applyFill="1" applyAlignment="1"/>
    <xf numFmtId="0" fontId="1" fillId="23" borderId="2" xfId="0" applyFont="1" applyFill="1" applyBorder="1" applyAlignment="1" applyProtection="1">
      <alignment vertical="center"/>
    </xf>
    <xf numFmtId="0" fontId="1" fillId="23" borderId="2" xfId="0" applyFont="1" applyFill="1" applyBorder="1" applyAlignment="1" applyProtection="1">
      <alignment horizontal="right" vertical="center"/>
    </xf>
    <xf numFmtId="0" fontId="0" fillId="7" borderId="0" xfId="0" applyFill="1" applyAlignment="1"/>
    <xf numFmtId="0" fontId="0" fillId="0" borderId="0" xfId="0" applyAlignment="1" applyProtection="1"/>
    <xf numFmtId="0" fontId="0" fillId="0" borderId="0" xfId="0" applyAlignment="1" applyProtection="1">
      <protection hidden="1"/>
    </xf>
    <xf numFmtId="0" fontId="44" fillId="0" borderId="0" xfId="0" applyFont="1" applyAlignment="1" applyProtection="1">
      <protection hidden="1"/>
    </xf>
    <xf numFmtId="0" fontId="45" fillId="0" borderId="0" xfId="0" applyFont="1" applyAlignment="1" applyProtection="1"/>
    <xf numFmtId="0" fontId="46" fillId="0" borderId="0" xfId="0" applyFont="1" applyAlignment="1" applyProtection="1"/>
    <xf numFmtId="0" fontId="47" fillId="0" borderId="0" xfId="0" applyFont="1" applyFill="1" applyAlignment="1" applyProtection="1">
      <alignment vertical="center"/>
    </xf>
    <xf numFmtId="0" fontId="48" fillId="4" borderId="0" xfId="0" applyFont="1" applyFill="1" applyAlignment="1" applyProtection="1">
      <alignment horizontal="center" vertical="center"/>
    </xf>
    <xf numFmtId="0" fontId="49" fillId="4" borderId="0" xfId="0" applyFont="1" applyFill="1" applyAlignment="1" applyProtection="1">
      <alignment horizontal="left" vertical="center"/>
    </xf>
    <xf numFmtId="0" fontId="50" fillId="4" borderId="0" xfId="0" applyFont="1" applyFill="1" applyAlignment="1" applyProtection="1">
      <alignment vertical="center"/>
    </xf>
    <xf numFmtId="0" fontId="51" fillId="4" borderId="0" xfId="0" applyFont="1" applyFill="1" applyAlignment="1" applyProtection="1">
      <alignment horizontal="center" vertical="center" wrapText="1"/>
      <protection hidden="1"/>
    </xf>
    <xf numFmtId="0" fontId="52" fillId="13" borderId="0" xfId="0" applyFont="1" applyFill="1" applyAlignment="1" applyProtection="1">
      <alignment horizontal="center" vertical="center" wrapText="1"/>
      <protection hidden="1"/>
    </xf>
    <xf numFmtId="0" fontId="53" fillId="4" borderId="0" xfId="0" applyFont="1" applyFill="1" applyAlignment="1" applyProtection="1">
      <alignment horizontal="justify" vertical="center"/>
    </xf>
    <xf numFmtId="0" fontId="51" fillId="4" borderId="0" xfId="0" applyFont="1" applyFill="1" applyAlignment="1" applyProtection="1">
      <alignment vertical="center"/>
    </xf>
    <xf numFmtId="0" fontId="51" fillId="13" borderId="0" xfId="0" applyFont="1" applyFill="1" applyAlignment="1" applyProtection="1">
      <alignment vertical="center"/>
    </xf>
    <xf numFmtId="0" fontId="54" fillId="4" borderId="0" xfId="0" applyFont="1" applyFill="1" applyAlignment="1" applyProtection="1">
      <alignment vertical="center"/>
    </xf>
    <xf numFmtId="0" fontId="51" fillId="4" borderId="0" xfId="0" applyFont="1" applyFill="1" applyAlignment="1" applyProtection="1">
      <alignment horizontal="left" vertical="center"/>
    </xf>
    <xf numFmtId="0" fontId="51" fillId="13" borderId="0" xfId="0" applyFont="1" applyFill="1" applyAlignment="1" applyProtection="1">
      <alignment horizontal="center" vertical="center"/>
    </xf>
    <xf numFmtId="0" fontId="55" fillId="4" borderId="0" xfId="0" applyFont="1" applyFill="1" applyAlignment="1" applyProtection="1">
      <alignment vertical="center"/>
    </xf>
    <xf numFmtId="0" fontId="56" fillId="4" borderId="0" xfId="0" applyFont="1" applyFill="1" applyAlignment="1" applyProtection="1">
      <alignment horizontal="center" vertical="center"/>
    </xf>
    <xf numFmtId="0" fontId="57" fillId="4" borderId="0" xfId="0" applyFont="1" applyFill="1" applyAlignment="1" applyProtection="1">
      <alignment horizontal="left" vertical="center"/>
    </xf>
    <xf numFmtId="0" fontId="54" fillId="13" borderId="0" xfId="0" applyFont="1" applyFill="1" applyAlignment="1" applyProtection="1">
      <alignment horizontal="left" vertical="center" wrapText="1"/>
    </xf>
    <xf numFmtId="0" fontId="10" fillId="4" borderId="0" xfId="0" applyFont="1" applyFill="1" applyAlignment="1" applyProtection="1">
      <alignment vertical="center"/>
    </xf>
    <xf numFmtId="0" fontId="52" fillId="4" borderId="0" xfId="0" applyFont="1" applyFill="1" applyAlignment="1" applyProtection="1">
      <alignment horizontal="left" vertical="center" wrapText="1"/>
    </xf>
    <xf numFmtId="0" fontId="52" fillId="4" borderId="0" xfId="0" applyFont="1" applyFill="1" applyAlignment="1" applyProtection="1">
      <alignment horizontal="left" vertical="center"/>
    </xf>
    <xf numFmtId="0" fontId="10" fillId="4" borderId="27" xfId="0" applyFont="1" applyFill="1" applyBorder="1" applyAlignment="1" applyProtection="1">
      <alignment horizontal="center" vertical="center"/>
      <protection hidden="1"/>
    </xf>
    <xf numFmtId="0" fontId="10" fillId="4" borderId="2" xfId="0" applyFont="1" applyFill="1" applyBorder="1" applyAlignment="1" applyProtection="1">
      <alignment horizontal="center" vertical="center"/>
      <protection hidden="1"/>
    </xf>
    <xf numFmtId="0" fontId="10" fillId="4" borderId="33" xfId="0" applyFont="1" applyFill="1" applyBorder="1" applyAlignment="1" applyProtection="1">
      <alignment horizontal="center" vertical="center"/>
      <protection hidden="1"/>
    </xf>
    <xf numFmtId="0" fontId="0" fillId="4" borderId="2" xfId="0" applyFill="1" applyBorder="1" applyAlignment="1" applyProtection="1">
      <protection hidden="1"/>
    </xf>
    <xf numFmtId="0" fontId="58" fillId="4" borderId="2" xfId="0" applyFont="1" applyFill="1" applyBorder="1" applyAlignment="1" applyProtection="1">
      <alignment horizontal="center"/>
      <protection hidden="1"/>
    </xf>
    <xf numFmtId="0" fontId="57" fillId="4" borderId="34" xfId="0" applyFont="1" applyFill="1" applyBorder="1" applyAlignment="1" applyProtection="1">
      <alignment horizontal="center" vertical="center"/>
    </xf>
    <xf numFmtId="0" fontId="57" fillId="4" borderId="35" xfId="0" applyFont="1" applyFill="1" applyBorder="1" applyAlignment="1" applyProtection="1">
      <alignment horizontal="center" vertical="center"/>
    </xf>
    <xf numFmtId="0" fontId="57" fillId="4" borderId="36" xfId="0" applyFont="1" applyFill="1" applyBorder="1" applyAlignment="1" applyProtection="1">
      <alignment horizontal="center" vertical="center"/>
    </xf>
    <xf numFmtId="0" fontId="57" fillId="4" borderId="2" xfId="0" applyFont="1" applyFill="1" applyBorder="1" applyAlignment="1" applyProtection="1">
      <alignment horizontal="center" vertical="center"/>
    </xf>
    <xf numFmtId="0" fontId="57" fillId="4" borderId="2" xfId="0" applyFont="1" applyFill="1" applyBorder="1" applyAlignment="1" applyProtection="1">
      <alignment horizontal="center" vertical="center" wrapText="1"/>
    </xf>
    <xf numFmtId="0" fontId="54" fillId="13" borderId="34" xfId="0" applyFont="1" applyFill="1" applyBorder="1" applyAlignment="1" applyProtection="1">
      <alignment horizontal="left" vertical="center" wrapText="1"/>
    </xf>
    <xf numFmtId="0" fontId="54" fillId="13" borderId="35" xfId="0" applyFont="1" applyFill="1" applyBorder="1" applyAlignment="1" applyProtection="1">
      <alignment horizontal="left" vertical="center" wrapText="1"/>
    </xf>
    <xf numFmtId="0" fontId="54" fillId="13" borderId="36" xfId="0" applyFont="1" applyFill="1" applyBorder="1" applyAlignment="1" applyProtection="1">
      <alignment horizontal="left" vertical="center" wrapText="1"/>
    </xf>
    <xf numFmtId="0" fontId="54" fillId="13" borderId="2" xfId="0" applyFont="1" applyFill="1" applyBorder="1" applyAlignment="1" applyProtection="1">
      <alignment horizontal="left" vertical="center" wrapText="1"/>
    </xf>
    <xf numFmtId="0" fontId="10" fillId="4" borderId="34" xfId="0" applyFont="1" applyFill="1" applyBorder="1" applyAlignment="1" applyProtection="1">
      <alignment horizontal="center" vertical="center" wrapText="1"/>
    </xf>
    <xf numFmtId="0" fontId="10" fillId="4" borderId="35" xfId="0" applyFont="1" applyFill="1" applyBorder="1" applyAlignment="1" applyProtection="1">
      <alignment horizontal="center" vertical="center" wrapText="1"/>
    </xf>
    <xf numFmtId="0" fontId="10" fillId="4" borderId="36" xfId="0" applyFont="1" applyFill="1" applyBorder="1" applyAlignment="1" applyProtection="1">
      <alignment horizontal="center" vertical="center" wrapText="1"/>
    </xf>
    <xf numFmtId="0" fontId="10" fillId="4" borderId="2" xfId="0" applyFont="1" applyFill="1" applyBorder="1" applyAlignment="1" applyProtection="1">
      <alignment horizontal="left" vertical="center" wrapText="1"/>
    </xf>
    <xf numFmtId="0" fontId="59" fillId="13" borderId="34" xfId="0" applyFont="1" applyFill="1" applyBorder="1" applyAlignment="1" applyProtection="1">
      <alignment horizontal="left" vertical="center" wrapText="1"/>
    </xf>
    <xf numFmtId="0" fontId="51" fillId="4" borderId="0" xfId="0" applyFont="1" applyFill="1" applyAlignment="1" applyProtection="1">
      <alignment horizontal="center" vertical="center"/>
    </xf>
    <xf numFmtId="0" fontId="54" fillId="4" borderId="0" xfId="0" applyFont="1" applyFill="1" applyAlignment="1" applyProtection="1">
      <alignment horizontal="center" vertical="center"/>
    </xf>
    <xf numFmtId="0" fontId="60" fillId="4" borderId="0" xfId="0" applyFont="1" applyFill="1" applyAlignment="1" applyProtection="1">
      <alignment vertical="center"/>
    </xf>
    <xf numFmtId="0" fontId="54" fillId="13" borderId="0" xfId="0" applyFont="1" applyFill="1" applyAlignment="1" applyProtection="1">
      <alignment horizontal="left" vertical="center"/>
    </xf>
    <xf numFmtId="0" fontId="61" fillId="4" borderId="0" xfId="0" applyFont="1" applyFill="1" applyAlignment="1" applyProtection="1">
      <alignment horizontal="left"/>
    </xf>
    <xf numFmtId="0" fontId="46" fillId="0" borderId="0" xfId="0" applyFont="1" applyAlignment="1" applyProtection="1">
      <protection hidden="1"/>
    </xf>
    <xf numFmtId="0" fontId="61" fillId="4" borderId="2" xfId="0" applyFont="1" applyFill="1" applyBorder="1" applyAlignment="1" applyProtection="1">
      <alignment horizontal="left"/>
    </xf>
    <xf numFmtId="0" fontId="61" fillId="4" borderId="2" xfId="0" applyFont="1" applyFill="1" applyBorder="1" applyAlignment="1" applyProtection="1">
      <alignment horizontal="center"/>
    </xf>
    <xf numFmtId="0" fontId="61" fillId="4" borderId="2" xfId="0" applyFont="1" applyFill="1" applyBorder="1" applyAlignment="1" applyProtection="1">
      <alignment horizontal="left" vertical="center"/>
      <protection hidden="1"/>
    </xf>
    <xf numFmtId="0" fontId="62" fillId="7" borderId="2" xfId="0" applyFont="1" applyFill="1" applyBorder="1" applyAlignment="1" applyProtection="1">
      <alignment horizontal="left" vertical="top" wrapText="1"/>
    </xf>
    <xf numFmtId="0" fontId="62" fillId="7" borderId="2" xfId="0" applyFont="1" applyFill="1" applyBorder="1" applyAlignment="1" applyProtection="1">
      <alignment horizontal="center" vertical="top" wrapText="1"/>
    </xf>
    <xf numFmtId="0" fontId="61" fillId="4" borderId="0" xfId="0" applyFont="1" applyFill="1" applyAlignment="1" applyProtection="1">
      <alignment horizontal="left" vertical="center"/>
      <protection hidden="1"/>
    </xf>
    <xf numFmtId="0" fontId="61" fillId="4" borderId="2" xfId="0" applyFont="1" applyFill="1" applyBorder="1" applyAlignment="1" applyProtection="1">
      <alignment horizontal="left"/>
      <protection hidden="1"/>
    </xf>
    <xf numFmtId="0" fontId="61" fillId="4" borderId="2" xfId="0" applyFont="1" applyFill="1" applyBorder="1" applyAlignment="1" applyProtection="1">
      <alignment horizontal="center"/>
      <protection hidden="1"/>
    </xf>
    <xf numFmtId="0" fontId="63" fillId="0" borderId="0" xfId="0" applyFont="1" applyAlignment="1" applyProtection="1">
      <protection hidden="1"/>
    </xf>
    <xf numFmtId="0" fontId="64" fillId="4" borderId="2" xfId="0" applyFont="1" applyFill="1" applyBorder="1" applyAlignment="1" applyProtection="1">
      <alignment horizontal="left"/>
      <protection hidden="1"/>
    </xf>
    <xf numFmtId="0" fontId="64" fillId="4" borderId="2" xfId="0" applyFont="1" applyFill="1" applyBorder="1" applyAlignment="1" applyProtection="1">
      <alignment horizontal="center"/>
      <protection hidden="1"/>
    </xf>
    <xf numFmtId="0" fontId="54" fillId="7" borderId="2" xfId="0" applyFont="1" applyFill="1" applyBorder="1" applyAlignment="1" applyProtection="1">
      <alignment horizontal="left" vertical="top" wrapText="1"/>
    </xf>
    <xf numFmtId="0" fontId="54" fillId="7" borderId="2" xfId="0" applyFont="1" applyFill="1" applyBorder="1" applyAlignment="1" applyProtection="1">
      <alignment horizontal="center" vertical="top" wrapText="1"/>
    </xf>
    <xf numFmtId="0" fontId="61" fillId="4" borderId="31" xfId="0" applyFont="1" applyFill="1" applyBorder="1" applyAlignment="1" applyProtection="1">
      <alignment horizontal="left" vertical="center"/>
      <protection hidden="1"/>
    </xf>
    <xf numFmtId="0" fontId="61" fillId="4" borderId="37" xfId="0" applyFont="1" applyFill="1" applyBorder="1" applyAlignment="1" applyProtection="1">
      <alignment horizontal="left" vertical="center"/>
      <protection hidden="1"/>
    </xf>
    <xf numFmtId="0" fontId="65" fillId="2" borderId="2" xfId="0" applyFont="1" applyFill="1" applyBorder="1" applyAlignment="1" applyProtection="1">
      <alignment vertical="top" wrapText="1"/>
      <protection hidden="1"/>
    </xf>
    <xf numFmtId="0" fontId="66" fillId="0" borderId="0" xfId="0" applyFont="1" applyAlignment="1" applyProtection="1">
      <alignment wrapText="1"/>
      <protection hidden="1"/>
    </xf>
    <xf numFmtId="0" fontId="65" fillId="0" borderId="2" xfId="0" applyFont="1" applyBorder="1" applyAlignment="1" applyProtection="1">
      <alignment horizontal="left" vertical="top" wrapText="1"/>
      <protection hidden="1"/>
    </xf>
    <xf numFmtId="0" fontId="61" fillId="4" borderId="32" xfId="0" applyFont="1" applyFill="1" applyBorder="1" applyAlignment="1" applyProtection="1">
      <alignment horizontal="left" vertical="center"/>
      <protection hidden="1"/>
    </xf>
    <xf numFmtId="0" fontId="55" fillId="4" borderId="0" xfId="0" applyFont="1" applyFill="1" applyAlignment="1" applyProtection="1">
      <alignment horizontal="left" vertical="center"/>
    </xf>
    <xf numFmtId="0" fontId="65" fillId="13" borderId="0" xfId="0" applyFont="1" applyFill="1" applyAlignment="1" applyProtection="1">
      <alignment horizontal="left" vertical="top" wrapText="1"/>
    </xf>
    <xf numFmtId="0" fontId="67" fillId="4" borderId="0" xfId="0" applyFont="1" applyFill="1" applyAlignment="1" applyProtection="1">
      <alignment horizontal="left" vertical="center"/>
    </xf>
    <xf numFmtId="0" fontId="67" fillId="4" borderId="0" xfId="0" applyFont="1" applyFill="1" applyAlignment="1" applyProtection="1">
      <alignment horizontal="left"/>
    </xf>
    <xf numFmtId="0" fontId="0" fillId="4" borderId="0" xfId="0" applyFill="1" applyAlignment="1" applyProtection="1"/>
    <xf numFmtId="0" fontId="0" fillId="4" borderId="0" xfId="0" applyFill="1" applyAlignment="1" applyProtection="1">
      <alignment horizontal="center"/>
    </xf>
    <xf numFmtId="0" fontId="68" fillId="4" borderId="0" xfId="0" applyFont="1" applyFill="1" applyAlignment="1" applyProtection="1">
      <alignment horizontal="justify" vertical="center"/>
    </xf>
    <xf numFmtId="0" fontId="68" fillId="4" borderId="0" xfId="0" applyFont="1" applyFill="1" applyAlignment="1" applyProtection="1">
      <alignment vertical="center"/>
    </xf>
    <xf numFmtId="0" fontId="0" fillId="24" borderId="2" xfId="0" applyFill="1" applyBorder="1" applyAlignment="1" applyProtection="1">
      <alignment horizontal="left"/>
    </xf>
    <xf numFmtId="0" fontId="0" fillId="14" borderId="2" xfId="0" applyFill="1" applyBorder="1" applyAlignment="1" applyProtection="1"/>
    <xf numFmtId="0" fontId="0" fillId="25" borderId="34" xfId="0" applyFill="1" applyBorder="1" applyAlignment="1" applyProtection="1">
      <alignment horizontal="left"/>
    </xf>
    <xf numFmtId="0" fontId="0" fillId="25" borderId="36" xfId="0" applyFill="1" applyBorder="1" applyAlignment="1" applyProtection="1">
      <alignment horizontal="left"/>
    </xf>
    <xf numFmtId="0" fontId="0" fillId="6" borderId="2" xfId="0" applyFill="1" applyBorder="1" applyAlignment="1" applyProtection="1"/>
    <xf numFmtId="0" fontId="0" fillId="13" borderId="2" xfId="0" applyFill="1" applyBorder="1" applyAlignment="1" applyProtection="1">
      <alignment horizontal="center"/>
    </xf>
    <xf numFmtId="0" fontId="0" fillId="13" borderId="2" xfId="0" applyFill="1" applyBorder="1" applyAlignment="1" applyProtection="1"/>
    <xf numFmtId="0" fontId="0" fillId="6" borderId="34" xfId="0" applyFill="1" applyBorder="1" applyAlignment="1" applyProtection="1">
      <alignment horizontal="center"/>
    </xf>
    <xf numFmtId="0" fontId="0" fillId="6" borderId="36" xfId="0" applyFill="1" applyBorder="1" applyAlignment="1" applyProtection="1">
      <alignment horizontal="center"/>
    </xf>
    <xf numFmtId="0" fontId="0" fillId="23" borderId="34" xfId="0" applyFill="1" applyBorder="1" applyAlignment="1" applyProtection="1">
      <alignment horizontal="center"/>
    </xf>
    <xf numFmtId="0" fontId="0" fillId="23" borderId="36" xfId="0" applyFill="1" applyBorder="1" applyAlignment="1" applyProtection="1">
      <alignment horizontal="center"/>
    </xf>
    <xf numFmtId="0" fontId="69" fillId="13" borderId="2" xfId="0" applyFont="1" applyFill="1" applyBorder="1" applyAlignment="1" applyProtection="1">
      <alignment horizontal="left" vertical="top" wrapText="1"/>
    </xf>
    <xf numFmtId="0" fontId="70" fillId="0" borderId="0" xfId="0" applyFont="1" applyAlignment="1" applyProtection="1"/>
    <xf numFmtId="0" fontId="69" fillId="13" borderId="27" xfId="0" applyFont="1" applyFill="1" applyBorder="1" applyAlignment="1" applyProtection="1">
      <alignment horizontal="left" vertical="top" wrapText="1"/>
    </xf>
    <xf numFmtId="0" fontId="0" fillId="19" borderId="34" xfId="0" applyFill="1" applyBorder="1" applyAlignment="1" applyProtection="1"/>
    <xf numFmtId="0" fontId="0" fillId="19" borderId="36" xfId="0" applyFill="1" applyBorder="1" applyAlignment="1" applyProtection="1"/>
    <xf numFmtId="0" fontId="20" fillId="19" borderId="36" xfId="10" applyFont="1" applyFill="1" applyBorder="1" applyAlignment="1" applyProtection="1"/>
    <xf numFmtId="0" fontId="0" fillId="19" borderId="36" xfId="0" applyFill="1" applyBorder="1" applyAlignment="1" applyProtection="1">
      <alignment horizontal="left"/>
    </xf>
    <xf numFmtId="0" fontId="0" fillId="19" borderId="33" xfId="0" applyFill="1" applyBorder="1" applyAlignment="1" applyProtection="1"/>
    <xf numFmtId="0" fontId="0" fillId="19" borderId="33" xfId="0" applyFill="1" applyBorder="1" applyAlignment="1" applyProtection="1">
      <alignment horizontal="left"/>
    </xf>
    <xf numFmtId="0" fontId="20" fillId="23" borderId="33" xfId="10" applyFont="1" applyFill="1" applyBorder="1" applyAlignment="1" applyProtection="1">
      <alignment horizontal="left"/>
    </xf>
    <xf numFmtId="0" fontId="0" fillId="2" borderId="2" xfId="0" applyFill="1" applyBorder="1" applyAlignment="1" applyProtection="1"/>
    <xf numFmtId="0" fontId="20" fillId="2" borderId="34" xfId="10" applyFont="1" applyFill="1" applyBorder="1" applyAlignment="1" applyProtection="1">
      <alignment horizontal="left"/>
    </xf>
    <xf numFmtId="0" fontId="20" fillId="2" borderId="36" xfId="10" applyFont="1" applyFill="1" applyBorder="1" applyAlignment="1" applyProtection="1">
      <alignment horizontal="left"/>
    </xf>
    <xf numFmtId="0" fontId="0" fillId="0" borderId="0" xfId="0" applyBorder="1" applyAlignment="1" applyProtection="1"/>
    <xf numFmtId="0" fontId="68" fillId="13" borderId="0" xfId="0" applyFont="1" applyFill="1" applyAlignment="1" applyProtection="1">
      <alignment horizontal="left" vertical="center"/>
    </xf>
    <xf numFmtId="0" fontId="66" fillId="13" borderId="0" xfId="0" applyFont="1" applyFill="1" applyAlignment="1" applyProtection="1">
      <alignment horizontal="left"/>
    </xf>
    <xf numFmtId="0" fontId="68" fillId="4" borderId="0" xfId="0" applyFont="1" applyFill="1" applyAlignment="1" applyProtection="1"/>
    <xf numFmtId="0" fontId="66" fillId="4" borderId="0" xfId="0" applyFont="1" applyFill="1" applyAlignment="1" applyProtection="1"/>
    <xf numFmtId="14" fontId="66" fillId="13" borderId="0" xfId="0" applyNumberFormat="1" applyFont="1" applyFill="1" applyAlignment="1" applyProtection="1">
      <alignment horizontal="center"/>
    </xf>
    <xf numFmtId="0" fontId="66" fillId="13" borderId="0" xfId="0" applyFont="1" applyFill="1" applyAlignment="1" applyProtection="1">
      <alignment horizontal="center"/>
    </xf>
    <xf numFmtId="0" fontId="20" fillId="23" borderId="2" xfId="10" applyFont="1" applyFill="1" applyBorder="1" applyAlignment="1" applyProtection="1"/>
    <xf numFmtId="0" fontId="0" fillId="25" borderId="35" xfId="0" applyFill="1" applyBorder="1" applyAlignment="1" applyProtection="1">
      <alignment horizontal="left"/>
    </xf>
    <xf numFmtId="0" fontId="0" fillId="6" borderId="35" xfId="0" applyFill="1" applyBorder="1" applyAlignment="1" applyProtection="1">
      <alignment horizontal="center"/>
    </xf>
    <xf numFmtId="0" fontId="0" fillId="23" borderId="35" xfId="0" applyFill="1" applyBorder="1" applyAlignment="1" applyProtection="1">
      <alignment horizontal="center"/>
    </xf>
    <xf numFmtId="0" fontId="0" fillId="19" borderId="35" xfId="0" applyFill="1" applyBorder="1" applyAlignment="1" applyProtection="1">
      <alignment horizontal="left"/>
    </xf>
    <xf numFmtId="0" fontId="0" fillId="23" borderId="33" xfId="0" applyFill="1" applyBorder="1" applyAlignment="1" applyProtection="1">
      <alignment horizontal="left"/>
    </xf>
    <xf numFmtId="0" fontId="20" fillId="2" borderId="35" xfId="10" applyFont="1" applyFill="1" applyBorder="1" applyAlignment="1" applyProtection="1">
      <alignment horizontal="left"/>
    </xf>
    <xf numFmtId="0" fontId="71" fillId="0" borderId="0" xfId="0" applyFont="1" applyAlignment="1" applyProtection="1"/>
    <xf numFmtId="0" fontId="33" fillId="0" borderId="0" xfId="0" applyFont="1" applyAlignment="1" applyProtection="1"/>
    <xf numFmtId="0" fontId="72" fillId="26" borderId="0" xfId="0" applyFont="1" applyFill="1" applyAlignment="1" applyProtection="1">
      <alignment horizontal="center" vertical="center"/>
    </xf>
    <xf numFmtId="0" fontId="73" fillId="26" borderId="0" xfId="0" applyFont="1" applyFill="1" applyAlignment="1" applyProtection="1">
      <alignment horizontal="center" vertical="center"/>
    </xf>
    <xf numFmtId="0" fontId="33" fillId="26" borderId="0" xfId="0" applyFont="1" applyFill="1" applyAlignment="1" applyProtection="1"/>
    <xf numFmtId="0" fontId="38" fillId="26" borderId="0" xfId="0" applyFont="1" applyFill="1" applyAlignment="1" applyProtection="1">
      <alignment horizontal="right"/>
    </xf>
    <xf numFmtId="0" fontId="33" fillId="26" borderId="0" xfId="0" applyFont="1" applyFill="1" applyAlignment="1" applyProtection="1">
      <alignment horizontal="left"/>
    </xf>
    <xf numFmtId="0" fontId="74" fillId="27" borderId="34" xfId="0" applyFont="1" applyFill="1" applyBorder="1" applyAlignment="1" applyProtection="1">
      <alignment horizontal="center" vertical="center"/>
    </xf>
    <xf numFmtId="0" fontId="6" fillId="27" borderId="36" xfId="0" applyFont="1" applyFill="1" applyBorder="1" applyAlignment="1" applyProtection="1">
      <alignment horizontal="center" vertical="center"/>
    </xf>
    <xf numFmtId="0" fontId="6" fillId="27" borderId="35" xfId="0" applyFont="1" applyFill="1" applyBorder="1" applyAlignment="1" applyProtection="1">
      <alignment horizontal="center" vertical="center"/>
    </xf>
    <xf numFmtId="0" fontId="6" fillId="26" borderId="2" xfId="0" applyFont="1" applyFill="1" applyBorder="1" applyAlignment="1" applyProtection="1">
      <alignment horizontal="center" vertical="center"/>
    </xf>
    <xf numFmtId="0" fontId="6" fillId="26" borderId="34" xfId="0" applyFont="1" applyFill="1" applyBorder="1" applyAlignment="1" applyProtection="1">
      <alignment horizontal="center" vertical="center"/>
    </xf>
    <xf numFmtId="0" fontId="6" fillId="26" borderId="35" xfId="0" applyFont="1" applyFill="1" applyBorder="1" applyAlignment="1" applyProtection="1">
      <alignment horizontal="center" vertical="center"/>
    </xf>
    <xf numFmtId="0" fontId="19" fillId="26" borderId="2" xfId="0" applyFont="1" applyFill="1" applyBorder="1" applyAlignment="1" applyProtection="1">
      <alignment horizontal="center" vertical="center"/>
    </xf>
    <xf numFmtId="181" fontId="6" fillId="26" borderId="2" xfId="0" applyNumberFormat="1" applyFont="1" applyFill="1" applyBorder="1" applyAlignment="1" applyProtection="1">
      <alignment horizontal="center" vertical="center"/>
    </xf>
    <xf numFmtId="178" fontId="6" fillId="26" borderId="2" xfId="0" applyNumberFormat="1" applyFont="1" applyFill="1" applyBorder="1" applyAlignment="1" applyProtection="1">
      <alignment horizontal="center" vertical="center"/>
    </xf>
    <xf numFmtId="10" fontId="6" fillId="0" borderId="2" xfId="0" applyNumberFormat="1" applyFont="1" applyFill="1" applyBorder="1" applyAlignment="1" applyProtection="1">
      <alignment horizontal="center" vertical="center"/>
    </xf>
    <xf numFmtId="10" fontId="6" fillId="26" borderId="34" xfId="0" applyNumberFormat="1" applyFont="1" applyFill="1" applyBorder="1" applyAlignment="1" applyProtection="1">
      <alignment horizontal="center" vertical="center"/>
    </xf>
    <xf numFmtId="10" fontId="6" fillId="26" borderId="35" xfId="0" applyNumberFormat="1" applyFont="1" applyFill="1" applyBorder="1" applyAlignment="1" applyProtection="1">
      <alignment horizontal="center" vertical="center"/>
    </xf>
    <xf numFmtId="0" fontId="75" fillId="26" borderId="0" xfId="0" applyFont="1" applyFill="1" applyBorder="1" applyAlignment="1" applyProtection="1">
      <alignment horizontal="center" vertical="center"/>
    </xf>
    <xf numFmtId="181" fontId="76" fillId="26" borderId="0" xfId="0" applyNumberFormat="1" applyFont="1" applyFill="1" applyBorder="1" applyAlignment="1" applyProtection="1">
      <alignment horizontal="center" vertical="center"/>
    </xf>
    <xf numFmtId="0" fontId="76" fillId="26" borderId="0" xfId="0" applyFont="1" applyFill="1" applyBorder="1" applyAlignment="1" applyProtection="1">
      <alignment horizontal="center" vertical="center"/>
    </xf>
    <xf numFmtId="178" fontId="76" fillId="26" borderId="0" xfId="0" applyNumberFormat="1" applyFont="1" applyFill="1" applyBorder="1" applyAlignment="1" applyProtection="1">
      <alignment horizontal="center" vertical="center"/>
    </xf>
    <xf numFmtId="10" fontId="76" fillId="26" borderId="0" xfId="0" applyNumberFormat="1" applyFont="1" applyFill="1" applyBorder="1" applyAlignment="1" applyProtection="1">
      <alignment horizontal="center" vertical="center"/>
    </xf>
    <xf numFmtId="0" fontId="33" fillId="26" borderId="0" xfId="0" applyFont="1" applyFill="1" applyBorder="1" applyAlignment="1" applyProtection="1">
      <alignment horizontal="center" vertical="center"/>
    </xf>
    <xf numFmtId="182" fontId="33" fillId="26" borderId="0" xfId="0" applyNumberFormat="1" applyFont="1" applyFill="1" applyBorder="1" applyAlignment="1" applyProtection="1">
      <alignment horizontal="center" vertical="center"/>
    </xf>
    <xf numFmtId="178" fontId="33" fillId="26" borderId="0" xfId="0" applyNumberFormat="1" applyFont="1" applyFill="1" applyBorder="1" applyAlignment="1" applyProtection="1">
      <alignment horizontal="center" vertical="center"/>
    </xf>
    <xf numFmtId="10" fontId="33" fillId="26" borderId="0" xfId="0" applyNumberFormat="1" applyFont="1" applyFill="1" applyBorder="1" applyAlignment="1" applyProtection="1">
      <alignment horizontal="center" vertical="center"/>
    </xf>
    <xf numFmtId="10" fontId="74" fillId="27" borderId="34" xfId="0" applyNumberFormat="1" applyFont="1" applyFill="1" applyBorder="1" applyAlignment="1" applyProtection="1">
      <alignment horizontal="center" vertical="center"/>
    </xf>
    <xf numFmtId="10" fontId="6" fillId="27" borderId="36" xfId="0" applyNumberFormat="1" applyFont="1" applyFill="1" applyBorder="1" applyAlignment="1" applyProtection="1">
      <alignment horizontal="center" vertical="center"/>
    </xf>
    <xf numFmtId="10" fontId="6" fillId="27" borderId="35" xfId="0" applyNumberFormat="1" applyFont="1" applyFill="1" applyBorder="1" applyAlignment="1" applyProtection="1">
      <alignment horizontal="center" vertical="center"/>
    </xf>
    <xf numFmtId="182" fontId="6" fillId="26" borderId="2" xfId="0" applyNumberFormat="1" applyFont="1" applyFill="1" applyBorder="1" applyAlignment="1" applyProtection="1">
      <alignment horizontal="center" vertical="center"/>
    </xf>
    <xf numFmtId="10" fontId="74" fillId="26" borderId="2" xfId="0" applyNumberFormat="1" applyFont="1" applyFill="1" applyBorder="1" applyAlignment="1" applyProtection="1">
      <alignment horizontal="center" vertical="center"/>
    </xf>
    <xf numFmtId="10" fontId="6" fillId="26" borderId="2" xfId="0" applyNumberFormat="1" applyFont="1" applyFill="1" applyBorder="1" applyAlignment="1" applyProtection="1">
      <alignment horizontal="center" vertical="center"/>
    </xf>
    <xf numFmtId="0" fontId="15" fillId="27" borderId="2" xfId="0" applyFont="1" applyFill="1" applyBorder="1" applyAlignment="1" applyProtection="1">
      <alignment horizontal="center" vertical="center"/>
    </xf>
    <xf numFmtId="0" fontId="6" fillId="27" borderId="2" xfId="0" applyFont="1" applyFill="1" applyBorder="1" applyAlignment="1" applyProtection="1">
      <alignment horizontal="center" vertical="center"/>
    </xf>
    <xf numFmtId="178" fontId="77" fillId="26" borderId="0" xfId="0" applyNumberFormat="1" applyFont="1" applyFill="1" applyBorder="1" applyAlignment="1" applyProtection="1">
      <alignment horizontal="center" vertical="center"/>
    </xf>
    <xf numFmtId="0" fontId="6" fillId="26" borderId="2" xfId="0" applyFont="1" applyFill="1" applyBorder="1" applyAlignment="1" applyProtection="1">
      <alignment horizontal="center"/>
    </xf>
    <xf numFmtId="10" fontId="19" fillId="26" borderId="2" xfId="0" applyNumberFormat="1" applyFont="1" applyFill="1" applyBorder="1" applyAlignment="1" applyProtection="1">
      <alignment horizontal="center" vertical="center"/>
    </xf>
    <xf numFmtId="0" fontId="78" fillId="26" borderId="0" xfId="0" applyFont="1" applyFill="1" applyAlignment="1" applyProtection="1"/>
    <xf numFmtId="0" fontId="15" fillId="26" borderId="34" xfId="0" applyFont="1" applyFill="1" applyBorder="1" applyAlignment="1" applyProtection="1">
      <alignment horizontal="center" vertical="center"/>
    </xf>
    <xf numFmtId="178" fontId="78" fillId="26" borderId="0" xfId="0" applyNumberFormat="1" applyFont="1" applyFill="1" applyBorder="1" applyAlignment="1" applyProtection="1">
      <alignment horizontal="center" vertical="center"/>
    </xf>
    <xf numFmtId="0" fontId="79" fillId="27" borderId="34" xfId="0" applyFont="1" applyFill="1" applyBorder="1" applyAlignment="1" applyProtection="1">
      <alignment horizontal="center"/>
    </xf>
    <xf numFmtId="0" fontId="79" fillId="27" borderId="35" xfId="0" applyFont="1" applyFill="1" applyBorder="1" applyAlignment="1" applyProtection="1">
      <alignment horizontal="center"/>
    </xf>
    <xf numFmtId="10" fontId="80" fillId="27" borderId="2" xfId="0" applyNumberFormat="1" applyFont="1" applyFill="1" applyBorder="1" applyAlignment="1" applyProtection="1">
      <alignment horizontal="center" vertical="center"/>
    </xf>
    <xf numFmtId="0" fontId="15" fillId="27" borderId="2" xfId="0" applyFont="1" applyFill="1" applyBorder="1" applyAlignment="1" applyProtection="1">
      <alignment horizontal="center"/>
    </xf>
    <xf numFmtId="0" fontId="81" fillId="26" borderId="0" xfId="0" applyFont="1" applyFill="1" applyAlignment="1" applyProtection="1">
      <alignment horizontal="right"/>
    </xf>
    <xf numFmtId="0" fontId="43" fillId="26" borderId="0" xfId="0" applyFont="1" applyFill="1" applyAlignment="1" applyProtection="1"/>
    <xf numFmtId="0" fontId="19" fillId="26" borderId="2" xfId="0" applyFont="1" applyFill="1" applyBorder="1" applyAlignment="1" applyProtection="1">
      <alignment horizontal="right"/>
    </xf>
    <xf numFmtId="10" fontId="6" fillId="26" borderId="2" xfId="0" applyNumberFormat="1" applyFont="1" applyFill="1" applyBorder="1" applyAlignment="1" applyProtection="1"/>
    <xf numFmtId="0" fontId="19" fillId="26" borderId="2" xfId="0" applyFont="1" applyFill="1" applyBorder="1" applyAlignment="1" applyProtection="1"/>
    <xf numFmtId="0" fontId="6" fillId="26" borderId="2" xfId="0" applyFont="1" applyFill="1" applyBorder="1" applyAlignment="1" applyProtection="1">
      <alignment horizontal="right"/>
    </xf>
    <xf numFmtId="0" fontId="6" fillId="26" borderId="0" xfId="0" applyFont="1" applyFill="1" applyAlignment="1" applyProtection="1"/>
    <xf numFmtId="0" fontId="81" fillId="26" borderId="0" xfId="0" applyFont="1" applyFill="1" applyBorder="1" applyAlignment="1" applyProtection="1">
      <alignment horizontal="right"/>
    </xf>
    <xf numFmtId="178" fontId="82" fillId="0" borderId="0" xfId="0" applyNumberFormat="1" applyFont="1" applyFill="1" applyBorder="1" applyAlignment="1" applyProtection="1">
      <alignment horizontal="left" vertical="center"/>
    </xf>
    <xf numFmtId="0" fontId="83" fillId="26" borderId="0" xfId="0" applyFont="1" applyFill="1" applyAlignment="1" applyProtection="1"/>
    <xf numFmtId="0" fontId="84" fillId="26" borderId="0" xfId="0" applyFont="1" applyFill="1" applyAlignment="1" applyProtection="1">
      <alignment horizontal="left" vertical="top" wrapText="1"/>
    </xf>
    <xf numFmtId="0" fontId="85" fillId="26" borderId="0" xfId="0" applyFont="1" applyFill="1" applyAlignment="1" applyProtection="1">
      <alignment horizontal="center" vertical="center"/>
    </xf>
    <xf numFmtId="0" fontId="86" fillId="26" borderId="0" xfId="0" applyFont="1" applyFill="1" applyAlignment="1" applyProtection="1">
      <alignment horizontal="center" vertical="center"/>
    </xf>
    <xf numFmtId="0" fontId="84" fillId="0" borderId="0" xfId="0" applyFont="1" applyAlignment="1" applyProtection="1"/>
    <xf numFmtId="0" fontId="0" fillId="23" borderId="0" xfId="0" applyFill="1" applyAlignment="1" applyProtection="1"/>
    <xf numFmtId="0" fontId="22" fillId="7" borderId="0" xfId="0" applyFont="1" applyFill="1" applyAlignment="1" applyProtection="1">
      <protection locked="0"/>
    </xf>
    <xf numFmtId="0" fontId="0" fillId="13" borderId="0" xfId="0" applyFill="1" applyAlignment="1" applyProtection="1">
      <protection locked="0"/>
    </xf>
    <xf numFmtId="0" fontId="22" fillId="23" borderId="2" xfId="0" applyFont="1" applyFill="1" applyBorder="1" applyAlignment="1" applyProtection="1">
      <alignment horizontal="center" vertical="center"/>
    </xf>
    <xf numFmtId="0" fontId="0" fillId="23" borderId="2" xfId="0" applyFill="1" applyBorder="1" applyAlignment="1" applyProtection="1"/>
    <xf numFmtId="0" fontId="87" fillId="7" borderId="0" xfId="0" applyFont="1" applyFill="1" applyAlignment="1" applyProtection="1">
      <alignment wrapText="1"/>
      <protection locked="0"/>
    </xf>
    <xf numFmtId="0" fontId="22" fillId="7" borderId="2" xfId="0" applyFont="1" applyFill="1" applyBorder="1" applyAlignment="1" applyProtection="1">
      <protection locked="0"/>
    </xf>
    <xf numFmtId="0" fontId="88" fillId="13" borderId="2" xfId="0" applyFont="1" applyFill="1" applyBorder="1" applyAlignment="1" applyProtection="1">
      <protection locked="0"/>
    </xf>
    <xf numFmtId="0" fontId="0" fillId="23" borderId="2" xfId="0" applyFill="1" applyBorder="1" applyAlignment="1" applyProtection="1">
      <alignment horizontal="right" vertical="center"/>
    </xf>
    <xf numFmtId="0" fontId="5" fillId="23" borderId="0" xfId="0" applyFont="1" applyFill="1" applyAlignment="1" applyProtection="1">
      <alignment horizontal="left"/>
    </xf>
    <xf numFmtId="0" fontId="0" fillId="0" borderId="0" xfId="0" applyFill="1" applyAlignment="1"/>
    <xf numFmtId="0" fontId="5" fillId="23" borderId="2" xfId="0" applyFont="1" applyFill="1" applyBorder="1" applyAlignment="1" applyProtection="1">
      <alignment horizontal="left" vertical="center"/>
    </xf>
    <xf numFmtId="0" fontId="89" fillId="23" borderId="2" xfId="0" applyFont="1" applyFill="1" applyBorder="1" applyAlignment="1" applyProtection="1">
      <alignment horizontal="left" vertical="center"/>
    </xf>
    <xf numFmtId="49" fontId="38" fillId="13" borderId="2" xfId="0" applyNumberFormat="1" applyFont="1" applyFill="1" applyBorder="1" applyAlignment="1" applyProtection="1">
      <alignment horizontal="center" vertical="center"/>
      <protection locked="0"/>
    </xf>
    <xf numFmtId="49" fontId="38" fillId="13" borderId="2" xfId="0" applyNumberFormat="1" applyFont="1" applyFill="1" applyBorder="1" applyAlignment="1" applyProtection="1">
      <alignment horizontal="center" vertical="center" wrapText="1" shrinkToFit="1"/>
      <protection locked="0"/>
    </xf>
    <xf numFmtId="0" fontId="10" fillId="13" borderId="2" xfId="0" applyFont="1" applyFill="1" applyBorder="1" applyAlignment="1" applyProtection="1">
      <alignment vertical="center"/>
      <protection locked="0"/>
    </xf>
    <xf numFmtId="183" fontId="88" fillId="7" borderId="2" xfId="0" applyNumberFormat="1" applyFont="1" applyFill="1" applyBorder="1" applyAlignment="1" applyProtection="1">
      <alignment horizontal="right" vertical="center" wrapText="1"/>
      <protection locked="0"/>
    </xf>
    <xf numFmtId="183" fontId="0" fillId="0" borderId="2" xfId="0" applyNumberFormat="1" applyFill="1" applyBorder="1" applyAlignment="1" applyProtection="1">
      <alignment vertical="center"/>
      <protection locked="0"/>
    </xf>
    <xf numFmtId="0" fontId="0" fillId="0" borderId="2" xfId="0" applyFill="1" applyBorder="1" applyAlignment="1" applyProtection="1">
      <protection locked="0"/>
    </xf>
    <xf numFmtId="0" fontId="10" fillId="13" borderId="30" xfId="0" applyFont="1" applyFill="1" applyBorder="1" applyAlignment="1" applyProtection="1">
      <alignment vertical="center"/>
      <protection locked="0"/>
    </xf>
    <xf numFmtId="49" fontId="90" fillId="7" borderId="2" xfId="0" applyNumberFormat="1" applyFont="1" applyFill="1" applyBorder="1" applyAlignment="1" applyProtection="1">
      <alignment horizontal="left" wrapText="1"/>
      <protection locked="0"/>
    </xf>
    <xf numFmtId="0" fontId="90" fillId="7" borderId="2" xfId="0" applyFont="1" applyFill="1" applyBorder="1" applyAlignment="1" applyProtection="1">
      <alignment wrapText="1"/>
      <protection locked="0"/>
    </xf>
    <xf numFmtId="49" fontId="74" fillId="7" borderId="2" xfId="0" applyNumberFormat="1" applyFont="1" applyFill="1" applyBorder="1" applyAlignment="1" applyProtection="1">
      <alignment horizontal="left" wrapText="1"/>
      <protection locked="0"/>
    </xf>
    <xf numFmtId="0" fontId="88" fillId="7" borderId="2" xfId="0" applyFont="1" applyFill="1" applyBorder="1" applyAlignment="1" applyProtection="1">
      <alignment vertical="center"/>
      <protection locked="0"/>
    </xf>
    <xf numFmtId="0" fontId="88" fillId="7" borderId="2" xfId="0" applyFont="1" applyFill="1" applyBorder="1" applyAlignment="1" applyProtection="1">
      <alignment horizontal="center" vertical="center"/>
      <protection locked="0"/>
    </xf>
    <xf numFmtId="183" fontId="88" fillId="13" borderId="2" xfId="0" applyNumberFormat="1" applyFont="1" applyFill="1" applyBorder="1" applyAlignment="1" applyProtection="1">
      <alignment horizontal="right" vertical="center" wrapText="1"/>
      <protection locked="0"/>
    </xf>
    <xf numFmtId="183" fontId="0" fillId="13" borderId="2" xfId="0" applyNumberFormat="1" applyFill="1" applyBorder="1" applyAlignment="1" applyProtection="1">
      <alignment vertical="center"/>
      <protection locked="0"/>
    </xf>
    <xf numFmtId="0" fontId="0" fillId="13" borderId="2" xfId="0" applyFill="1" applyBorder="1" applyAlignment="1" applyProtection="1">
      <protection locked="0"/>
    </xf>
    <xf numFmtId="0" fontId="0" fillId="0" borderId="0" xfId="0" applyFill="1" applyBorder="1" applyAlignment="1" applyProtection="1"/>
    <xf numFmtId="0" fontId="0" fillId="23" borderId="2" xfId="0" applyFill="1" applyBorder="1" applyAlignment="1" applyProtection="1">
      <alignment vertical="center"/>
    </xf>
    <xf numFmtId="0" fontId="0" fillId="23" borderId="0" xfId="0" applyFill="1" applyAlignment="1" applyProtection="1">
      <alignment vertical="center"/>
    </xf>
    <xf numFmtId="0" fontId="22" fillId="13" borderId="2" xfId="0" applyNumberFormat="1" applyFont="1" applyFill="1" applyBorder="1" applyAlignment="1" applyProtection="1">
      <alignment vertical="center"/>
      <protection locked="0"/>
    </xf>
    <xf numFmtId="0" fontId="22" fillId="13" borderId="2" xfId="0" applyFont="1" applyFill="1" applyBorder="1" applyAlignment="1" applyProtection="1">
      <alignment vertical="center"/>
      <protection locked="0"/>
    </xf>
    <xf numFmtId="0" fontId="1" fillId="23" borderId="0" xfId="0" applyFont="1" applyFill="1" applyAlignment="1" applyProtection="1">
      <alignment vertical="center"/>
    </xf>
    <xf numFmtId="0" fontId="32" fillId="23" borderId="0" xfId="0" applyFont="1" applyFill="1" applyAlignment="1" applyProtection="1"/>
    <xf numFmtId="0" fontId="71" fillId="23" borderId="0" xfId="0" applyFont="1" applyFill="1" applyAlignment="1" applyProtection="1"/>
    <xf numFmtId="0" fontId="71" fillId="23" borderId="0" xfId="0" applyFont="1" applyFill="1" applyAlignment="1" applyProtection="1">
      <alignment horizontal="center"/>
    </xf>
    <xf numFmtId="0" fontId="91" fillId="23" borderId="0" xfId="0" applyFont="1" applyFill="1" applyAlignment="1" applyProtection="1">
      <alignment horizontal="center"/>
    </xf>
    <xf numFmtId="0" fontId="92" fillId="23" borderId="0" xfId="0" applyFont="1" applyFill="1" applyAlignment="1" applyProtection="1">
      <alignment horizontal="center"/>
    </xf>
    <xf numFmtId="0" fontId="88" fillId="23" borderId="0" xfId="0" applyFont="1" applyFill="1" applyAlignment="1" applyProtection="1">
      <alignment vertical="center"/>
    </xf>
    <xf numFmtId="0" fontId="89" fillId="0" borderId="0" xfId="0" applyFont="1" applyFill="1" applyBorder="1" applyAlignment="1" applyProtection="1">
      <alignment horizontal="left" vertical="center"/>
    </xf>
    <xf numFmtId="0" fontId="0" fillId="23" borderId="0" xfId="0" applyFill="1" applyAlignment="1" applyProtection="1">
      <alignment horizontal="center"/>
    </xf>
    <xf numFmtId="0" fontId="0" fillId="7" borderId="34" xfId="0" applyFill="1" applyBorder="1" applyAlignment="1" applyProtection="1">
      <alignment horizontal="center"/>
      <protection locked="0"/>
    </xf>
    <xf numFmtId="0" fontId="0" fillId="7" borderId="35" xfId="0" applyFill="1" applyBorder="1" applyAlignment="1" applyProtection="1">
      <alignment horizontal="center"/>
      <protection locked="0"/>
    </xf>
    <xf numFmtId="0" fontId="22" fillId="7" borderId="2" xfId="0" applyFont="1" applyFill="1" applyBorder="1" applyAlignment="1" applyProtection="1">
      <alignment vertical="center"/>
      <protection locked="0"/>
    </xf>
    <xf numFmtId="0" fontId="7" fillId="23" borderId="1" xfId="0" applyFont="1" applyFill="1" applyBorder="1" applyAlignment="1" applyProtection="1">
      <alignment horizontal="right" vertical="center" wrapText="1"/>
    </xf>
    <xf numFmtId="0" fontId="93" fillId="13" borderId="1" xfId="0" applyFont="1" applyFill="1" applyBorder="1" applyAlignment="1" applyProtection="1">
      <alignment horizontal="left" vertical="center" wrapText="1"/>
      <protection locked="0"/>
    </xf>
    <xf numFmtId="177" fontId="14" fillId="23" borderId="1" xfId="0" applyNumberFormat="1" applyFont="1" applyFill="1" applyBorder="1" applyAlignment="1" applyProtection="1">
      <alignment horizontal="left" vertical="center" wrapText="1"/>
    </xf>
    <xf numFmtId="0" fontId="3" fillId="23" borderId="1" xfId="0" applyFont="1" applyFill="1" applyBorder="1" applyAlignment="1" applyProtection="1">
      <alignment horizontal="center" vertical="center" wrapText="1"/>
    </xf>
    <xf numFmtId="0" fontId="94" fillId="23" borderId="1" xfId="0" applyFont="1" applyFill="1" applyBorder="1" applyAlignment="1" applyProtection="1">
      <alignment horizontal="center" vertical="center" wrapText="1"/>
    </xf>
    <xf numFmtId="0" fontId="94" fillId="7" borderId="1" xfId="0" applyFont="1" applyFill="1" applyBorder="1" applyAlignment="1" applyProtection="1">
      <alignment horizontal="center" vertical="center" wrapText="1"/>
      <protection locked="0"/>
    </xf>
    <xf numFmtId="0" fontId="95" fillId="7" borderId="1" xfId="0" applyFont="1" applyFill="1" applyBorder="1" applyAlignment="1" applyProtection="1">
      <alignment horizontal="center" vertical="center" wrapText="1"/>
      <protection locked="0"/>
    </xf>
    <xf numFmtId="0" fontId="96" fillId="7" borderId="1" xfId="0" applyFont="1" applyFill="1" applyBorder="1" applyAlignment="1" applyProtection="1">
      <alignment horizontal="center" vertical="center"/>
      <protection locked="0"/>
    </xf>
    <xf numFmtId="0" fontId="3" fillId="7" borderId="1" xfId="0" applyFont="1" applyFill="1" applyBorder="1" applyAlignment="1" applyProtection="1">
      <alignment horizontal="center" vertical="center" wrapText="1"/>
      <protection locked="0"/>
    </xf>
    <xf numFmtId="0" fontId="2" fillId="7" borderId="1" xfId="0" applyFont="1" applyFill="1" applyBorder="1" applyAlignment="1" applyProtection="1">
      <alignment horizontal="center" vertical="center" wrapText="1"/>
      <protection locked="0"/>
    </xf>
    <xf numFmtId="0" fontId="95" fillId="7" borderId="38" xfId="0" applyFont="1" applyFill="1" applyBorder="1" applyAlignment="1" applyProtection="1">
      <alignment horizontal="center" vertical="center" wrapText="1"/>
      <protection locked="0"/>
    </xf>
    <xf numFmtId="0" fontId="2" fillId="7" borderId="38" xfId="0" applyFont="1" applyFill="1" applyBorder="1" applyAlignment="1" applyProtection="1">
      <alignment horizontal="center" vertical="center" wrapText="1"/>
      <protection locked="0"/>
    </xf>
    <xf numFmtId="0" fontId="4" fillId="23" borderId="1" xfId="0" applyFont="1" applyFill="1" applyBorder="1" applyAlignment="1" applyProtection="1">
      <alignment vertical="center" wrapText="1"/>
    </xf>
    <xf numFmtId="0" fontId="97" fillId="23" borderId="1" xfId="0" applyFont="1" applyFill="1" applyBorder="1" applyAlignment="1" applyProtection="1">
      <alignment vertical="center" wrapText="1"/>
    </xf>
    <xf numFmtId="0" fontId="98" fillId="23" borderId="1" xfId="0" applyFont="1" applyFill="1" applyBorder="1" applyAlignment="1" applyProtection="1">
      <alignment horizontal="center" vertical="center" wrapText="1"/>
    </xf>
    <xf numFmtId="0" fontId="99" fillId="23" borderId="1" xfId="0" applyFont="1" applyFill="1" applyBorder="1" applyAlignment="1" applyProtection="1">
      <alignment horizontal="center" vertical="center" wrapText="1"/>
    </xf>
    <xf numFmtId="0" fontId="100" fillId="2" borderId="1" xfId="0" applyFont="1" applyFill="1" applyBorder="1" applyAlignment="1" applyProtection="1">
      <alignment horizontal="left" vertical="top" wrapText="1"/>
    </xf>
    <xf numFmtId="0" fontId="101" fillId="28" borderId="0" xfId="10" applyFont="1" applyFill="1" applyAlignment="1" applyProtection="1">
      <alignment horizontal="center" vertical="top" wrapText="1"/>
      <protection locked="0"/>
    </xf>
    <xf numFmtId="0" fontId="20" fillId="28" borderId="0" xfId="10" applyFont="1" applyFill="1" applyAlignment="1" applyProtection="1">
      <alignment horizontal="center" vertical="top" wrapText="1"/>
      <protection locked="0"/>
    </xf>
    <xf numFmtId="0" fontId="100" fillId="28" borderId="0" xfId="0" applyFont="1" applyFill="1" applyAlignment="1" applyProtection="1">
      <alignment vertical="top" wrapText="1"/>
    </xf>
    <xf numFmtId="0" fontId="0" fillId="29" borderId="0" xfId="0" applyFill="1" applyAlignment="1" applyProtection="1">
      <alignment horizontal="left" wrapText="1"/>
    </xf>
    <xf numFmtId="0" fontId="0" fillId="12" borderId="0" xfId="0" applyFill="1" applyAlignment="1" applyProtection="1"/>
    <xf numFmtId="0" fontId="0" fillId="2" borderId="0" xfId="0" applyFill="1" applyAlignment="1" applyProtection="1"/>
    <xf numFmtId="0" fontId="2" fillId="23" borderId="1" xfId="0" applyFont="1" applyFill="1" applyBorder="1" applyAlignment="1" applyProtection="1">
      <alignment horizontal="center" vertical="center" wrapText="1"/>
    </xf>
    <xf numFmtId="0" fontId="1" fillId="2" borderId="0" xfId="0" applyFont="1" applyFill="1" applyAlignment="1" applyProtection="1"/>
    <xf numFmtId="0" fontId="2" fillId="23" borderId="38" xfId="0" applyFont="1" applyFill="1" applyBorder="1" applyAlignment="1" applyProtection="1">
      <alignment horizontal="center" vertical="center" wrapText="1"/>
    </xf>
    <xf numFmtId="0" fontId="5" fillId="23" borderId="1" xfId="0" applyFont="1" applyFill="1" applyBorder="1" applyAlignment="1" applyProtection="1"/>
    <xf numFmtId="0" fontId="102" fillId="23" borderId="1" xfId="0" applyFont="1" applyFill="1" applyBorder="1" applyAlignment="1" applyProtection="1"/>
    <xf numFmtId="0" fontId="103" fillId="23" borderId="1" xfId="0" applyFont="1" applyFill="1" applyBorder="1" applyAlignment="1" applyProtection="1">
      <alignment horizontal="center" vertical="center" wrapText="1"/>
    </xf>
    <xf numFmtId="0" fontId="0" fillId="0" borderId="1" xfId="0" applyBorder="1" applyAlignment="1" applyProtection="1"/>
    <xf numFmtId="0" fontId="0" fillId="2" borderId="1" xfId="0" applyFill="1" applyBorder="1" applyAlignment="1" applyProtection="1"/>
    <xf numFmtId="0" fontId="1" fillId="2" borderId="1" xfId="0" applyFont="1" applyFill="1" applyBorder="1" applyAlignment="1" applyProtection="1"/>
    <xf numFmtId="0" fontId="0" fillId="0" borderId="2" xfId="0" applyBorder="1" applyAlignment="1" applyProtection="1"/>
    <xf numFmtId="0" fontId="0" fillId="0" borderId="34" xfId="0" applyBorder="1" applyAlignment="1" applyProtection="1"/>
    <xf numFmtId="0" fontId="66" fillId="23" borderId="1" xfId="0" applyFont="1" applyFill="1" applyBorder="1" applyAlignment="1" applyProtection="1">
      <alignment horizontal="center" vertical="center" wrapText="1"/>
      <protection hidden="1"/>
    </xf>
    <xf numFmtId="0" fontId="66" fillId="23" borderId="38" xfId="0" applyFont="1" applyFill="1" applyBorder="1" applyAlignment="1" applyProtection="1">
      <alignment horizontal="center" vertical="center" wrapText="1"/>
    </xf>
    <xf numFmtId="0" fontId="104" fillId="23" borderId="1" xfId="0" applyFont="1" applyFill="1" applyBorder="1" applyAlignment="1" applyProtection="1">
      <alignment horizontal="left" vertical="top" wrapText="1"/>
    </xf>
    <xf numFmtId="0" fontId="66" fillId="23" borderId="6" xfId="0" applyFont="1" applyFill="1" applyBorder="1" applyAlignment="1" applyProtection="1">
      <alignment horizontal="center" vertical="center" wrapText="1"/>
    </xf>
    <xf numFmtId="0" fontId="32" fillId="0" borderId="2" xfId="0" applyFont="1" applyBorder="1" applyAlignment="1" applyProtection="1"/>
    <xf numFmtId="0" fontId="32" fillId="0" borderId="34" xfId="0" applyFont="1" applyBorder="1" applyAlignment="1" applyProtection="1"/>
    <xf numFmtId="0" fontId="105" fillId="23" borderId="1" xfId="0" applyFont="1" applyFill="1" applyBorder="1" applyAlignment="1" applyProtection="1">
      <alignment vertical="top" wrapText="1"/>
      <protection hidden="1"/>
    </xf>
    <xf numFmtId="0" fontId="106" fillId="13" borderId="38" xfId="0" applyFont="1" applyFill="1" applyBorder="1" applyAlignment="1" applyProtection="1">
      <alignment horizontal="left" vertical="top" wrapText="1"/>
      <protection locked="0"/>
    </xf>
    <xf numFmtId="0" fontId="107" fillId="13" borderId="1" xfId="0" applyFont="1" applyFill="1" applyBorder="1" applyAlignment="1" applyProtection="1">
      <alignment horizontal="left" vertical="top" wrapText="1"/>
      <protection locked="0"/>
    </xf>
    <xf numFmtId="0" fontId="106" fillId="13" borderId="39" xfId="0" applyFont="1" applyFill="1" applyBorder="1" applyAlignment="1" applyProtection="1">
      <alignment horizontal="left" vertical="top" wrapText="1"/>
      <protection locked="0"/>
    </xf>
    <xf numFmtId="0" fontId="0" fillId="0" borderId="0" xfId="0" applyFill="1" applyAlignment="1" applyProtection="1"/>
    <xf numFmtId="0" fontId="108" fillId="23" borderId="1" xfId="0" applyFont="1" applyFill="1" applyBorder="1" applyAlignment="1" applyProtection="1">
      <alignment horizontal="left" vertical="top" wrapText="1"/>
      <protection hidden="1"/>
    </xf>
    <xf numFmtId="0" fontId="0" fillId="13" borderId="1" xfId="0" applyFill="1" applyBorder="1" applyAlignment="1" applyProtection="1">
      <alignment horizontal="center"/>
      <protection locked="0"/>
    </xf>
    <xf numFmtId="0" fontId="0" fillId="23" borderId="1" xfId="0" applyFill="1" applyBorder="1" applyAlignment="1" applyProtection="1">
      <alignment horizontal="left" vertical="top" wrapText="1"/>
      <protection hidden="1"/>
    </xf>
    <xf numFmtId="0" fontId="0" fillId="13" borderId="1" xfId="0" applyFill="1" applyBorder="1" applyAlignment="1" applyProtection="1">
      <alignment horizontal="center"/>
    </xf>
    <xf numFmtId="0" fontId="0" fillId="23" borderId="1" xfId="0" applyFill="1" applyBorder="1" applyAlignment="1" applyProtection="1">
      <protection hidden="1"/>
    </xf>
    <xf numFmtId="0" fontId="109" fillId="13" borderId="39" xfId="0" applyFont="1" applyFill="1" applyBorder="1" applyAlignment="1" applyProtection="1">
      <alignment horizontal="center"/>
    </xf>
    <xf numFmtId="0" fontId="32" fillId="0" borderId="27" xfId="0" applyFont="1" applyBorder="1" applyAlignment="1" applyProtection="1"/>
    <xf numFmtId="0" fontId="0" fillId="0" borderId="25" xfId="0" applyBorder="1" applyAlignment="1" applyProtection="1"/>
    <xf numFmtId="0" fontId="0" fillId="23" borderId="38" xfId="0" applyFill="1" applyBorder="1" applyAlignment="1" applyProtection="1">
      <protection hidden="1"/>
    </xf>
    <xf numFmtId="0" fontId="109" fillId="13" borderId="6" xfId="0" applyFont="1" applyFill="1" applyBorder="1" applyAlignment="1" applyProtection="1">
      <alignment horizontal="center"/>
    </xf>
    <xf numFmtId="0" fontId="0" fillId="13" borderId="38" xfId="0" applyFill="1" applyBorder="1" applyAlignment="1" applyProtection="1">
      <alignment horizontal="center"/>
    </xf>
    <xf numFmtId="0" fontId="0" fillId="23" borderId="1" xfId="0" applyFill="1" applyBorder="1" applyAlignment="1" applyProtection="1"/>
    <xf numFmtId="0" fontId="0" fillId="23" borderId="40" xfId="0" applyFill="1" applyBorder="1" applyAlignment="1" applyProtection="1">
      <alignment horizontal="center"/>
      <protection hidden="1"/>
    </xf>
    <xf numFmtId="0" fontId="0" fillId="23" borderId="0" xfId="0" applyFill="1" applyAlignment="1" applyProtection="1">
      <alignment horizontal="center"/>
      <protection hidden="1"/>
    </xf>
    <xf numFmtId="0" fontId="0" fillId="0" borderId="0" xfId="0" applyAlignment="1" applyProtection="1">
      <alignment horizontal="center"/>
    </xf>
    <xf numFmtId="0" fontId="0" fillId="23" borderId="1" xfId="0" applyFill="1" applyBorder="1" applyAlignment="1" applyProtection="1">
      <alignment horizontal="center"/>
    </xf>
    <xf numFmtId="0" fontId="69" fillId="13" borderId="1" xfId="0" applyFont="1" applyFill="1" applyBorder="1" applyAlignment="1" applyProtection="1">
      <alignment horizontal="left" vertical="top" wrapText="1"/>
      <protection locked="0"/>
    </xf>
    <xf numFmtId="0" fontId="110" fillId="23" borderId="1" xfId="0" applyFont="1" applyFill="1" applyBorder="1" applyAlignment="1" applyProtection="1">
      <alignment horizontal="center" wrapText="1"/>
    </xf>
    <xf numFmtId="0" fontId="22" fillId="23" borderId="1" xfId="0" applyFont="1" applyFill="1" applyBorder="1" applyAlignment="1" applyProtection="1"/>
    <xf numFmtId="0" fontId="22" fillId="23" borderId="38" xfId="0" applyFont="1" applyFill="1" applyBorder="1" applyAlignment="1" applyProtection="1"/>
    <xf numFmtId="0" fontId="0" fillId="23" borderId="41" xfId="0" applyFill="1" applyBorder="1" applyAlignment="1" applyProtection="1">
      <alignment horizontal="center"/>
      <protection hidden="1"/>
    </xf>
    <xf numFmtId="0" fontId="111" fillId="0" borderId="0" xfId="0" applyFont="1">
      <alignment vertical="center"/>
    </xf>
    <xf numFmtId="0" fontId="0" fillId="30" borderId="0" xfId="0" applyFill="1" applyAlignment="1"/>
    <xf numFmtId="0" fontId="0" fillId="31" borderId="0" xfId="0" applyFill="1" applyAlignment="1"/>
    <xf numFmtId="0" fontId="1" fillId="32" borderId="0" xfId="0" applyFont="1" applyFill="1" applyAlignment="1"/>
    <xf numFmtId="0" fontId="1" fillId="30" borderId="0" xfId="0" applyFont="1" applyFill="1" applyAlignment="1"/>
    <xf numFmtId="0" fontId="0" fillId="33" borderId="0" xfId="0" applyFill="1" applyAlignment="1"/>
    <xf numFmtId="0" fontId="0" fillId="34" borderId="0" xfId="0" applyFill="1" applyAlignment="1"/>
    <xf numFmtId="0" fontId="0" fillId="35" borderId="0" xfId="0" applyFill="1" applyAlignment="1"/>
    <xf numFmtId="0" fontId="0" fillId="32" borderId="0" xfId="0" applyFill="1" applyAlignment="1"/>
    <xf numFmtId="0" fontId="88" fillId="0" borderId="0" xfId="0" applyFont="1" applyAlignment="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4">
    <dxf>
      <font>
        <color rgb="FF9C0006"/>
      </font>
      <fill>
        <patternFill patternType="solid">
          <bgColor rgb="FFFFC7CE"/>
        </patternFill>
      </fill>
    </dxf>
    <dxf>
      <font>
        <b val="0"/>
        <i val="0"/>
        <color indexed="60"/>
      </font>
      <fill>
        <patternFill patternType="solid">
          <fgColor indexed="10"/>
          <bgColor indexed="29"/>
        </patternFill>
      </fill>
    </dxf>
    <dxf>
      <font>
        <color theme="0"/>
      </font>
      <fill>
        <patternFill patternType="solid">
          <bgColor theme="0"/>
        </patternFill>
      </fill>
      <border>
        <left/>
        <right/>
        <top/>
        <bottom/>
      </border>
    </dxf>
    <dxf>
      <fill>
        <patternFill patternType="solid">
          <fgColor indexed="10"/>
          <bgColor indexed="4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externalLink" Target="externalLinks/externalLink3.xml"/><Relationship Id="rId23" Type="http://schemas.openxmlformats.org/officeDocument/2006/relationships/externalLink" Target="externalLinks/externalLink2.xml"/><Relationship Id="rId22" Type="http://schemas.openxmlformats.org/officeDocument/2006/relationships/externalLink" Target="externalLinks/externalLink1.xml"/><Relationship Id="rId21" Type="http://schemas.openxmlformats.org/officeDocument/2006/relationships/customXml" Target="../customXml/item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r:id="rId1" ax:persistence="persistStreamInit"/>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1800" b="1" i="0" u="none" strike="noStrike" kern="1200" cap="all" spc="150" baseline="0">
                <a:solidFill>
                  <a:schemeClr val="tx1">
                    <a:lumMod val="50000"/>
                    <a:lumOff val="50000"/>
                  </a:schemeClr>
                </a:solidFill>
                <a:latin typeface="+mn-lt"/>
                <a:ea typeface="+mn-ea"/>
                <a:cs typeface="+mn-cs"/>
              </a:defRPr>
            </a:pPr>
            <a:r>
              <a:rPr sz="1400"/>
              <a:t>课程目标达成度</a:t>
            </a:r>
            <a:endParaRPr sz="1400"/>
          </a:p>
        </c:rich>
      </c:tx>
      <c:layout>
        <c:manualLayout>
          <c:xMode val="edge"/>
          <c:yMode val="edge"/>
          <c:x val="0.313663165854112"/>
          <c:y val="0.0445308114317467"/>
        </c:manualLayout>
      </c:layout>
      <c:overlay val="0"/>
      <c:spPr>
        <a:noFill/>
        <a:ln>
          <a:noFill/>
        </a:ln>
        <a:effectLst/>
      </c:spPr>
    </c:title>
    <c:autoTitleDeleted val="0"/>
    <c:plotArea>
      <c:layout>
        <c:manualLayout>
          <c:layoutTarget val="inner"/>
          <c:xMode val="edge"/>
          <c:yMode val="edge"/>
          <c:x val="0.115605749486653"/>
          <c:y val="0.191716592862725"/>
          <c:w val="0.865571526351814"/>
          <c:h val="0.584370929929669"/>
        </c:manualLayout>
      </c:layout>
      <c:barChart>
        <c:barDir val="col"/>
        <c:grouping val="clustered"/>
        <c:varyColors val="0"/>
        <c:ser>
          <c:idx val="0"/>
          <c:order val="0"/>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Pt>
            <c:idx val="0"/>
            <c:invertIfNegative val="0"/>
            <c:bubble3D val="0"/>
          </c:dPt>
          <c:dPt>
            <c:idx val="1"/>
            <c:invertIfNegative val="0"/>
            <c:bubble3D val="0"/>
          </c:dPt>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Lbls>
            <c:delete val="1"/>
          </c:dLbls>
          <c:cat>
            <c:strRef>
              <c:f>'5、打印达成度'!$B$31:$B$39</c:f>
              <c:strCache>
                <c:ptCount val="9"/>
                <c:pt idx="0">
                  <c:v>课程目标1</c:v>
                </c:pt>
                <c:pt idx="1">
                  <c:v>课程目标2</c:v>
                </c:pt>
                <c:pt idx="2">
                  <c:v>课程目标3</c:v>
                </c:pt>
                <c:pt idx="3">
                  <c:v> </c:v>
                </c:pt>
                <c:pt idx="4">
                  <c:v> </c:v>
                </c:pt>
                <c:pt idx="5">
                  <c:v> </c:v>
                </c:pt>
                <c:pt idx="6">
                  <c:v> </c:v>
                </c:pt>
                <c:pt idx="7">
                  <c:v> </c:v>
                </c:pt>
                <c:pt idx="8">
                  <c:v> </c:v>
                </c:pt>
              </c:strCache>
            </c:strRef>
          </c:cat>
          <c:val>
            <c:numRef>
              <c:f>'5、打印达成度'!$D$31:$D$39</c:f>
              <c:numCache>
                <c:formatCode>0.00%</c:formatCode>
                <c:ptCount val="9"/>
                <c:pt idx="0">
                  <c:v>1.06333333333333</c:v>
                </c:pt>
                <c:pt idx="1">
                  <c:v>0.98974025974026</c:v>
                </c:pt>
                <c:pt idx="2">
                  <c:v>0.98974025974026</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64"/>
        <c:overlap val="-22"/>
        <c:axId val="-138554816"/>
        <c:axId val="-138545024"/>
      </c:barChart>
      <c:catAx>
        <c:axId val="-13855481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38545024"/>
        <c:crosses val="autoZero"/>
        <c:auto val="0"/>
        <c:lblAlgn val="ctr"/>
        <c:lblOffset val="100"/>
        <c:noMultiLvlLbl val="0"/>
      </c:catAx>
      <c:valAx>
        <c:axId val="-138545024"/>
        <c:scaling>
          <c:orientation val="minMax"/>
          <c:max val="1"/>
        </c:scaling>
        <c:delete val="0"/>
        <c:axPos val="l"/>
        <c:numFmt formatCode="0%" sourceLinked="0"/>
        <c:majorTickMark val="none"/>
        <c:minorTickMark val="none"/>
        <c:tickLblPos val="nextTo"/>
        <c:spPr>
          <a:noFill/>
          <a:ln>
            <a:noFill/>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385548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zh-CN" sz="1400" b="0" i="0" u="none" strike="noStrike" kern="1200" spc="0" baseline="0">
                <a:solidFill>
                  <a:schemeClr val="tx1">
                    <a:lumMod val="65000"/>
                    <a:lumOff val="35000"/>
                  </a:schemeClr>
                </a:solidFill>
                <a:latin typeface="+mn-lt"/>
                <a:ea typeface="+mn-ea"/>
                <a:cs typeface="+mn-cs"/>
              </a:defRPr>
            </a:pPr>
            <a:r>
              <a:rPr altLang="en-US" sz="1100"/>
              <a:t>课程目标</a:t>
            </a:r>
            <a:r>
              <a:rPr lang="en-US" altLang="zh-CN" sz="1100"/>
              <a:t>1</a:t>
            </a:r>
            <a:r>
              <a:rPr altLang="en-US" sz="1100"/>
              <a:t>达成度</a:t>
            </a:r>
            <a:endParaRPr lang="en-US" altLang="zh-CN" sz="1100"/>
          </a:p>
        </c:rich>
      </c:tx>
      <c:layout/>
      <c:overlay val="0"/>
      <c:spPr>
        <a:noFill/>
        <a:ln>
          <a:noFill/>
        </a:ln>
        <a:effectLst/>
      </c:spPr>
    </c:title>
    <c:autoTitleDeleted val="0"/>
    <c:plotArea>
      <c:layout>
        <c:manualLayout>
          <c:layoutTarget val="inner"/>
          <c:xMode val="edge"/>
          <c:yMode val="edge"/>
          <c:x val="0.103562945368171"/>
          <c:y val="0.173022598870056"/>
          <c:w val="0.845368171021378"/>
          <c:h val="0.656214689265537"/>
        </c:manualLayout>
      </c:layout>
      <c:scatterChart>
        <c:scatterStyle val="marker"/>
        <c:varyColors val="0"/>
        <c:ser>
          <c:idx val="0"/>
          <c:order val="0"/>
          <c:spPr>
            <a:ln w="19050" cap="rnd">
              <a:noFill/>
              <a:round/>
            </a:ln>
            <a:effectLst/>
          </c:spPr>
          <c:marker>
            <c:symbol val="circle"/>
            <c:size val="5"/>
            <c:spPr>
              <a:noFill/>
              <a:ln w="9525">
                <a:solidFill>
                  <a:schemeClr val="accent1"/>
                </a:solidFill>
              </a:ln>
              <a:effectLst/>
            </c:spPr>
          </c:marker>
          <c:dLbls>
            <c:delete val="1"/>
          </c:dLbls>
          <c:trendline>
            <c:spPr>
              <a:ln w="28575" cap="rnd" cmpd="sng">
                <a:solidFill>
                  <a:schemeClr val="accent1"/>
                </a:solidFill>
                <a:prstDash val="solid"/>
              </a:ln>
              <a:effectLst/>
            </c:spPr>
            <c:trendlineType val="linear"/>
            <c:dispRSqr val="0"/>
            <c:dispEq val="0"/>
          </c:trendline>
          <c:yVal>
            <c:numRef>
              <c:f>'7、散点图'!$L$2:$L$90</c:f>
              <c:numCache>
                <c:formatCode>General</c:formatCode>
                <c:ptCount val="89"/>
                <c:pt idx="0">
                  <c:v>0.7036</c:v>
                </c:pt>
                <c:pt idx="1">
                  <c:v>0.6928</c:v>
                </c:pt>
                <c:pt idx="2">
                  <c:v>0.694</c:v>
                </c:pt>
                <c:pt idx="3">
                  <c:v>0.661</c:v>
                </c:pt>
                <c:pt idx="4">
                  <c:v>0.7243</c:v>
                </c:pt>
                <c:pt idx="5">
                  <c:v>0.7216</c:v>
                </c:pt>
                <c:pt idx="6">
                  <c:v>0.6607</c:v>
                </c:pt>
                <c:pt idx="7">
                  <c:v>0.7039</c:v>
                </c:pt>
                <c:pt idx="8">
                  <c:v>0.6718</c:v>
                </c:pt>
                <c:pt idx="9">
                  <c:v>0.676</c:v>
                </c:pt>
                <c:pt idx="10">
                  <c:v>0.6826</c:v>
                </c:pt>
                <c:pt idx="11">
                  <c:v>0.7183</c:v>
                </c:pt>
                <c:pt idx="12">
                  <c:v>0.6703</c:v>
                </c:pt>
                <c:pt idx="13">
                  <c:v>0.6976</c:v>
                </c:pt>
                <c:pt idx="14">
                  <c:v>0.7105</c:v>
                </c:pt>
                <c:pt idx="15">
                  <c:v>0.6622</c:v>
                </c:pt>
                <c:pt idx="16">
                  <c:v>0.6898</c:v>
                </c:pt>
                <c:pt idx="17">
                  <c:v>0.7297</c:v>
                </c:pt>
                <c:pt idx="18">
                  <c:v>0.6868</c:v>
                </c:pt>
                <c:pt idx="19">
                  <c:v>0.6517</c:v>
                </c:pt>
                <c:pt idx="20">
                  <c:v>0.7246</c:v>
                </c:pt>
                <c:pt idx="21">
                  <c:v>0.6526</c:v>
                </c:pt>
                <c:pt idx="22">
                  <c:v>0.679</c:v>
                </c:pt>
                <c:pt idx="23">
                  <c:v>0.706</c:v>
                </c:pt>
                <c:pt idx="24">
                  <c:v>0.6841</c:v>
                </c:pt>
                <c:pt idx="25">
                  <c:v>0.6826</c:v>
                </c:pt>
                <c:pt idx="26">
                  <c:v>0.7234</c:v>
                </c:pt>
                <c:pt idx="27">
                  <c:v>0.6997</c:v>
                </c:pt>
                <c:pt idx="28">
                  <c:v>0.7198</c:v>
                </c:pt>
                <c:pt idx="29">
                  <c:v>0.6727</c:v>
                </c:pt>
                <c:pt idx="30">
                  <c:v>0.6967</c:v>
                </c:pt>
                <c:pt idx="31">
                  <c:v>0.712</c:v>
                </c:pt>
                <c:pt idx="32">
                  <c:v>0.7213</c:v>
                </c:pt>
                <c:pt idx="33">
                  <c:v>0.7303</c:v>
                </c:pt>
                <c:pt idx="34">
                  <c:v>0.7042</c:v>
                </c:pt>
                <c:pt idx="35">
                  <c:v>0.7006</c:v>
                </c:pt>
                <c:pt idx="36">
                  <c:v>0.6847</c:v>
                </c:pt>
                <c:pt idx="37">
                  <c:v>0.7273</c:v>
                </c:pt>
                <c:pt idx="38">
                  <c:v>0.6895</c:v>
                </c:pt>
                <c:pt idx="39">
                  <c:v>0.7048</c:v>
                </c:pt>
                <c:pt idx="40">
                  <c:v>0.7099</c:v>
                </c:pt>
                <c:pt idx="41">
                  <c:v>0.7135</c:v>
                </c:pt>
                <c:pt idx="42">
                  <c:v>0.652</c:v>
                </c:pt>
                <c:pt idx="43">
                  <c:v>0.6811</c:v>
                </c:pt>
                <c:pt idx="44">
                  <c:v>0.6778</c:v>
                </c:pt>
                <c:pt idx="45">
                  <c:v>0.658</c:v>
                </c:pt>
                <c:pt idx="46">
                  <c:v>0.6916</c:v>
                </c:pt>
                <c:pt idx="47">
                  <c:v>0.6763</c:v>
                </c:pt>
                <c:pt idx="48">
                  <c:v>0.7165</c:v>
                </c:pt>
                <c:pt idx="49">
                  <c:v>0.7279</c:v>
                </c:pt>
                <c:pt idx="50">
                  <c:v>0.727</c:v>
                </c:pt>
                <c:pt idx="51">
                  <c:v>0.6799</c:v>
                </c:pt>
                <c:pt idx="52">
                  <c:v>0.6895</c:v>
                </c:pt>
                <c:pt idx="53">
                  <c:v>0.6925</c:v>
                </c:pt>
                <c:pt idx="54">
                  <c:v>0.694</c:v>
                </c:pt>
                <c:pt idx="55">
                  <c:v>0.7057</c:v>
                </c:pt>
                <c:pt idx="56">
                  <c:v>0.6658</c:v>
                </c:pt>
                <c:pt idx="57">
                  <c:v>0.6829</c:v>
                </c:pt>
                <c:pt idx="58">
                  <c:v>0.7045</c:v>
                </c:pt>
                <c:pt idx="59">
                  <c:v>0.7267</c:v>
                </c:pt>
                <c:pt idx="60">
                  <c:v>0.6898</c:v>
                </c:pt>
                <c:pt idx="61">
                  <c:v>0.7246</c:v>
                </c:pt>
                <c:pt idx="62">
                  <c:v>0.6814</c:v>
                </c:pt>
                <c:pt idx="63">
                  <c:v>0.6757</c:v>
                </c:pt>
                <c:pt idx="64">
                  <c:v>0.7315</c:v>
                </c:pt>
                <c:pt idx="65">
                  <c:v>0.7</c:v>
                </c:pt>
                <c:pt idx="66">
                  <c:v>0.7216</c:v>
                </c:pt>
                <c:pt idx="67">
                  <c:v>0.6823</c:v>
                </c:pt>
                <c:pt idx="68">
                  <c:v>0.697</c:v>
                </c:pt>
                <c:pt idx="69">
                  <c:v>0.7288</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numCache>
            </c:numRef>
          </c:yVal>
          <c:smooth val="0"/>
        </c:ser>
        <c:dLbls>
          <c:showLegendKey val="0"/>
          <c:showVal val="0"/>
          <c:showCatName val="0"/>
          <c:showSerName val="0"/>
          <c:showPercent val="0"/>
          <c:showBubbleSize val="0"/>
        </c:dLbls>
        <c:axId val="839281535"/>
        <c:axId val="199135983"/>
      </c:scatterChart>
      <c:valAx>
        <c:axId val="839281535"/>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99135983"/>
        <c:crosses val="autoZero"/>
        <c:crossBetween val="midCat"/>
      </c:valAx>
      <c:valAx>
        <c:axId val="199135983"/>
        <c:scaling>
          <c:orientation val="minMax"/>
          <c:max val="1.2"/>
          <c:min val="0.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839281535"/>
        <c:crosses val="autoZero"/>
        <c:crossBetween val="midCat"/>
      </c:valAx>
      <c:spPr>
        <a:noFill/>
        <a:ln>
          <a:noFill/>
        </a:ln>
        <a:effectLst>
          <a:outerShdw blurRad="50800" dist="38100" dir="2700000" algn="tl" rotWithShape="0">
            <a:prstClr val="black">
              <a:alpha val="40000"/>
            </a:prstClr>
          </a:outerShdw>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zh-CN" sz="1400" b="0" i="0" u="none" strike="noStrike" kern="1200" spc="0" baseline="0">
                <a:solidFill>
                  <a:schemeClr val="tx1">
                    <a:lumMod val="65000"/>
                    <a:lumOff val="35000"/>
                  </a:schemeClr>
                </a:solidFill>
                <a:latin typeface="+mn-lt"/>
                <a:ea typeface="+mn-ea"/>
                <a:cs typeface="+mn-cs"/>
              </a:defRPr>
            </a:pPr>
            <a:r>
              <a:rPr altLang="en-US" sz="1100"/>
              <a:t>课程目标</a:t>
            </a:r>
            <a:r>
              <a:rPr lang="en-US" altLang="zh-CN" sz="1100"/>
              <a:t>2</a:t>
            </a:r>
            <a:r>
              <a:rPr altLang="en-US" sz="1100"/>
              <a:t>达成度</a:t>
            </a:r>
            <a:endParaRPr lang="en-US" altLang="zh-CN" sz="1100"/>
          </a:p>
        </c:rich>
      </c:tx>
      <c:layout/>
      <c:overlay val="0"/>
      <c:spPr>
        <a:noFill/>
        <a:ln>
          <a:noFill/>
        </a:ln>
        <a:effectLst/>
      </c:spPr>
    </c:title>
    <c:autoTitleDeleted val="0"/>
    <c:plotArea>
      <c:layout>
        <c:manualLayout>
          <c:layoutTarget val="inner"/>
          <c:xMode val="edge"/>
          <c:yMode val="edge"/>
          <c:x val="0.118541374474053"/>
          <c:y val="0.173091178650852"/>
          <c:w val="0.834754558204769"/>
          <c:h val="0.656189770200148"/>
        </c:manualLayout>
      </c:layout>
      <c:scatterChart>
        <c:scatterStyle val="marker"/>
        <c:varyColors val="0"/>
        <c:ser>
          <c:idx val="0"/>
          <c:order val="0"/>
          <c:tx>
            <c:strRef>
              <c:f>'7、散点图'!$M$2</c:f>
              <c:strCache>
                <c:ptCount val="1"/>
                <c:pt idx="0">
                  <c:v>0.7036</c:v>
                </c:pt>
              </c:strCache>
            </c:strRef>
          </c:tx>
          <c:spPr>
            <a:ln w="19050" cap="rnd">
              <a:noFill/>
              <a:round/>
            </a:ln>
            <a:effectLst/>
          </c:spPr>
          <c:marker>
            <c:symbol val="circle"/>
            <c:size val="5"/>
            <c:spPr>
              <a:noFill/>
              <a:ln w="9525">
                <a:solidFill>
                  <a:schemeClr val="accent1"/>
                </a:solidFill>
              </a:ln>
              <a:effectLst/>
            </c:spPr>
          </c:marker>
          <c:dLbls>
            <c:delete val="1"/>
          </c:dLbls>
          <c:trendline>
            <c:spPr>
              <a:ln w="28575" cap="rnd" cmpd="sng">
                <a:solidFill>
                  <a:schemeClr val="accent1"/>
                </a:solidFill>
                <a:prstDash val="solid"/>
              </a:ln>
              <a:effectLst/>
            </c:spPr>
            <c:trendlineType val="linear"/>
            <c:dispRSqr val="0"/>
            <c:dispEq val="0"/>
          </c:trendline>
          <c:yVal>
            <c:numRef>
              <c:f>'7、散点图'!$M$3:$M$90</c:f>
              <c:numCache>
                <c:formatCode>General</c:formatCode>
                <c:ptCount val="88"/>
                <c:pt idx="0">
                  <c:v>0.6928</c:v>
                </c:pt>
                <c:pt idx="1">
                  <c:v>0.694</c:v>
                </c:pt>
                <c:pt idx="2">
                  <c:v>0.661</c:v>
                </c:pt>
                <c:pt idx="3">
                  <c:v>0.7243</c:v>
                </c:pt>
                <c:pt idx="4">
                  <c:v>0.7216</c:v>
                </c:pt>
                <c:pt idx="5">
                  <c:v>0.6607</c:v>
                </c:pt>
                <c:pt idx="6">
                  <c:v>0.7039</c:v>
                </c:pt>
                <c:pt idx="7">
                  <c:v>0.6718</c:v>
                </c:pt>
                <c:pt idx="8">
                  <c:v>0.676</c:v>
                </c:pt>
                <c:pt idx="9">
                  <c:v>0.6826</c:v>
                </c:pt>
                <c:pt idx="10">
                  <c:v>0.7183</c:v>
                </c:pt>
                <c:pt idx="11">
                  <c:v>0.6703</c:v>
                </c:pt>
                <c:pt idx="12">
                  <c:v>0.6976</c:v>
                </c:pt>
                <c:pt idx="13">
                  <c:v>0.7105</c:v>
                </c:pt>
                <c:pt idx="14">
                  <c:v>0.6622</c:v>
                </c:pt>
                <c:pt idx="15">
                  <c:v>0.6898</c:v>
                </c:pt>
                <c:pt idx="16">
                  <c:v>0.7297</c:v>
                </c:pt>
                <c:pt idx="17">
                  <c:v>0.6868</c:v>
                </c:pt>
                <c:pt idx="18">
                  <c:v>0.6517</c:v>
                </c:pt>
                <c:pt idx="19">
                  <c:v>0.7246</c:v>
                </c:pt>
                <c:pt idx="20">
                  <c:v>0.6526</c:v>
                </c:pt>
                <c:pt idx="21">
                  <c:v>0.679</c:v>
                </c:pt>
                <c:pt idx="22">
                  <c:v>0.706</c:v>
                </c:pt>
                <c:pt idx="23">
                  <c:v>0.6841</c:v>
                </c:pt>
                <c:pt idx="24">
                  <c:v>0.6826</c:v>
                </c:pt>
                <c:pt idx="25">
                  <c:v>0.7234</c:v>
                </c:pt>
                <c:pt idx="26">
                  <c:v>0.6997</c:v>
                </c:pt>
                <c:pt idx="27">
                  <c:v>0.7198</c:v>
                </c:pt>
                <c:pt idx="28">
                  <c:v>0.6727</c:v>
                </c:pt>
                <c:pt idx="29">
                  <c:v>0.6967</c:v>
                </c:pt>
                <c:pt idx="30">
                  <c:v>0.712</c:v>
                </c:pt>
                <c:pt idx="31">
                  <c:v>0.7213</c:v>
                </c:pt>
                <c:pt idx="32">
                  <c:v>0.7303</c:v>
                </c:pt>
                <c:pt idx="33">
                  <c:v>0.7042</c:v>
                </c:pt>
                <c:pt idx="34">
                  <c:v>0.7006</c:v>
                </c:pt>
                <c:pt idx="35">
                  <c:v>0.6847</c:v>
                </c:pt>
                <c:pt idx="36">
                  <c:v>0.7273</c:v>
                </c:pt>
                <c:pt idx="37">
                  <c:v>0.6895</c:v>
                </c:pt>
                <c:pt idx="38">
                  <c:v>0.7048</c:v>
                </c:pt>
                <c:pt idx="39">
                  <c:v>0.7099</c:v>
                </c:pt>
                <c:pt idx="40">
                  <c:v>0.7135</c:v>
                </c:pt>
                <c:pt idx="41">
                  <c:v>0.652</c:v>
                </c:pt>
                <c:pt idx="42">
                  <c:v>0.6811</c:v>
                </c:pt>
                <c:pt idx="43">
                  <c:v>0.6778</c:v>
                </c:pt>
                <c:pt idx="44">
                  <c:v>0.658</c:v>
                </c:pt>
                <c:pt idx="45">
                  <c:v>0.6916</c:v>
                </c:pt>
                <c:pt idx="46">
                  <c:v>0.6763</c:v>
                </c:pt>
                <c:pt idx="47">
                  <c:v>0.7165</c:v>
                </c:pt>
                <c:pt idx="48">
                  <c:v>0.7279</c:v>
                </c:pt>
                <c:pt idx="49">
                  <c:v>0.727</c:v>
                </c:pt>
                <c:pt idx="50">
                  <c:v>0.6799</c:v>
                </c:pt>
                <c:pt idx="51">
                  <c:v>0.6895</c:v>
                </c:pt>
                <c:pt idx="52">
                  <c:v>0.6925</c:v>
                </c:pt>
                <c:pt idx="53">
                  <c:v>0.694</c:v>
                </c:pt>
                <c:pt idx="54">
                  <c:v>0.7057</c:v>
                </c:pt>
                <c:pt idx="55">
                  <c:v>0.6658</c:v>
                </c:pt>
                <c:pt idx="56">
                  <c:v>0.6829</c:v>
                </c:pt>
                <c:pt idx="57">
                  <c:v>0.7045</c:v>
                </c:pt>
                <c:pt idx="58">
                  <c:v>0.7267</c:v>
                </c:pt>
                <c:pt idx="59">
                  <c:v>0.6898</c:v>
                </c:pt>
                <c:pt idx="60">
                  <c:v>0.7246</c:v>
                </c:pt>
                <c:pt idx="61">
                  <c:v>0.6814</c:v>
                </c:pt>
                <c:pt idx="62">
                  <c:v>0.6757</c:v>
                </c:pt>
                <c:pt idx="63">
                  <c:v>0.7315</c:v>
                </c:pt>
                <c:pt idx="64">
                  <c:v>0.7</c:v>
                </c:pt>
                <c:pt idx="65">
                  <c:v>0.7216</c:v>
                </c:pt>
                <c:pt idx="66">
                  <c:v>0.6823</c:v>
                </c:pt>
                <c:pt idx="67">
                  <c:v>0.697</c:v>
                </c:pt>
                <c:pt idx="68">
                  <c:v>0.7288</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numCache>
            </c:numRef>
          </c:yVal>
          <c:smooth val="0"/>
        </c:ser>
        <c:dLbls>
          <c:showLegendKey val="0"/>
          <c:showVal val="0"/>
          <c:showCatName val="0"/>
          <c:showSerName val="0"/>
          <c:showPercent val="0"/>
          <c:showBubbleSize val="0"/>
        </c:dLbls>
        <c:axId val="839281535"/>
        <c:axId val="199135983"/>
      </c:scatterChart>
      <c:valAx>
        <c:axId val="839281535"/>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99135983"/>
        <c:crosses val="autoZero"/>
        <c:crossBetween val="midCat"/>
      </c:valAx>
      <c:valAx>
        <c:axId val="199135983"/>
        <c:scaling>
          <c:orientation val="minMax"/>
          <c:max val="1.2"/>
          <c:min val="0.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839281535"/>
        <c:crosses val="autoZero"/>
        <c:crossBetween val="midCat"/>
      </c:valAx>
      <c:spPr>
        <a:noFill/>
        <a:ln>
          <a:noFill/>
        </a:ln>
        <a:effectLst>
          <a:outerShdw blurRad="50800" dist="38100" dir="2700000" algn="tl" rotWithShape="0">
            <a:prstClr val="black">
              <a:alpha val="40000"/>
            </a:prstClr>
          </a:outerShdw>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externalData r:id="rId1">
    <c:autoUpdate val="0"/>
  </c:externalData>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zh-CN" sz="1400" b="0" i="0" u="none" strike="noStrike" kern="1200" spc="0" baseline="0">
                <a:solidFill>
                  <a:schemeClr val="tx1">
                    <a:lumMod val="65000"/>
                    <a:lumOff val="35000"/>
                  </a:schemeClr>
                </a:solidFill>
                <a:latin typeface="+mn-lt"/>
                <a:ea typeface="+mn-ea"/>
                <a:cs typeface="+mn-cs"/>
              </a:defRPr>
            </a:pPr>
            <a:r>
              <a:rPr altLang="en-US" sz="1100"/>
              <a:t>课程目标</a:t>
            </a:r>
            <a:r>
              <a:rPr lang="en-US" altLang="zh-CN" sz="1100"/>
              <a:t>3</a:t>
            </a:r>
            <a:r>
              <a:rPr altLang="en-US" sz="1100"/>
              <a:t>达成度</a:t>
            </a:r>
            <a:endParaRPr lang="en-US" altLang="zh-CN" sz="1100"/>
          </a:p>
        </c:rich>
      </c:tx>
      <c:layout/>
      <c:overlay val="0"/>
      <c:spPr>
        <a:noFill/>
        <a:ln>
          <a:noFill/>
        </a:ln>
        <a:effectLst/>
      </c:spPr>
    </c:title>
    <c:autoTitleDeleted val="0"/>
    <c:plotArea>
      <c:layout>
        <c:manualLayout>
          <c:layoutTarget val="inner"/>
          <c:xMode val="edge"/>
          <c:yMode val="edge"/>
          <c:x val="0.103562945368171"/>
          <c:y val="0.173022598870056"/>
          <c:w val="0.845368171021378"/>
          <c:h val="0.656214689265537"/>
        </c:manualLayout>
      </c:layout>
      <c:scatterChart>
        <c:scatterStyle val="marker"/>
        <c:varyColors val="0"/>
        <c:ser>
          <c:idx val="0"/>
          <c:order val="0"/>
          <c:tx>
            <c:strRef>
              <c:f>'7、散点图'!$N$2</c:f>
              <c:strCache>
                <c:ptCount val="1"/>
                <c:pt idx="0">
                  <c:v>0.2286</c:v>
                </c:pt>
              </c:strCache>
            </c:strRef>
          </c:tx>
          <c:spPr>
            <a:ln w="19050" cap="rnd">
              <a:noFill/>
              <a:round/>
            </a:ln>
            <a:effectLst/>
          </c:spPr>
          <c:marker>
            <c:symbol val="circle"/>
            <c:size val="5"/>
            <c:spPr>
              <a:noFill/>
              <a:ln w="9525">
                <a:solidFill>
                  <a:schemeClr val="accent1"/>
                </a:solidFill>
              </a:ln>
              <a:effectLst/>
            </c:spPr>
          </c:marker>
          <c:dLbls>
            <c:delete val="1"/>
          </c:dLbls>
          <c:trendline>
            <c:spPr>
              <a:ln w="28575" cap="rnd" cmpd="sng">
                <a:solidFill>
                  <a:schemeClr val="accent1"/>
                </a:solidFill>
                <a:prstDash val="solid"/>
              </a:ln>
              <a:effectLst/>
            </c:spPr>
            <c:trendlineType val="linear"/>
            <c:dispRSqr val="0"/>
            <c:dispEq val="0"/>
          </c:trendline>
          <c:yVal>
            <c:numRef>
              <c:f>'7、散点图'!$N$3:$N$90</c:f>
              <c:numCache>
                <c:formatCode>General</c:formatCode>
                <c:ptCount val="88"/>
                <c:pt idx="0">
                  <c:v>0.2178</c:v>
                </c:pt>
                <c:pt idx="1">
                  <c:v>0.219</c:v>
                </c:pt>
                <c:pt idx="2">
                  <c:v>0.186</c:v>
                </c:pt>
                <c:pt idx="3">
                  <c:v>0.2493</c:v>
                </c:pt>
                <c:pt idx="4">
                  <c:v>0.2466</c:v>
                </c:pt>
                <c:pt idx="5">
                  <c:v>0.1857</c:v>
                </c:pt>
                <c:pt idx="6">
                  <c:v>0.2289</c:v>
                </c:pt>
                <c:pt idx="7">
                  <c:v>0.1968</c:v>
                </c:pt>
                <c:pt idx="8">
                  <c:v>0.201</c:v>
                </c:pt>
                <c:pt idx="9">
                  <c:v>0.2076</c:v>
                </c:pt>
                <c:pt idx="10">
                  <c:v>0.2433</c:v>
                </c:pt>
                <c:pt idx="11">
                  <c:v>0.1953</c:v>
                </c:pt>
                <c:pt idx="12">
                  <c:v>0.2226</c:v>
                </c:pt>
                <c:pt idx="13">
                  <c:v>0.2355</c:v>
                </c:pt>
                <c:pt idx="14">
                  <c:v>0.1872</c:v>
                </c:pt>
                <c:pt idx="15">
                  <c:v>0.2148</c:v>
                </c:pt>
                <c:pt idx="16">
                  <c:v>0.2547</c:v>
                </c:pt>
                <c:pt idx="17">
                  <c:v>0.2118</c:v>
                </c:pt>
                <c:pt idx="18">
                  <c:v>0.1767</c:v>
                </c:pt>
                <c:pt idx="19">
                  <c:v>0.2496</c:v>
                </c:pt>
                <c:pt idx="20">
                  <c:v>0.1776</c:v>
                </c:pt>
                <c:pt idx="21">
                  <c:v>0.204</c:v>
                </c:pt>
                <c:pt idx="22">
                  <c:v>0.231</c:v>
                </c:pt>
                <c:pt idx="23">
                  <c:v>0.2091</c:v>
                </c:pt>
                <c:pt idx="24">
                  <c:v>0.2076</c:v>
                </c:pt>
                <c:pt idx="25">
                  <c:v>0.2484</c:v>
                </c:pt>
                <c:pt idx="26">
                  <c:v>0.2247</c:v>
                </c:pt>
                <c:pt idx="27">
                  <c:v>0.2448</c:v>
                </c:pt>
                <c:pt idx="28">
                  <c:v>0.1977</c:v>
                </c:pt>
                <c:pt idx="29">
                  <c:v>0.2217</c:v>
                </c:pt>
                <c:pt idx="30">
                  <c:v>0.237</c:v>
                </c:pt>
                <c:pt idx="31">
                  <c:v>0.2463</c:v>
                </c:pt>
                <c:pt idx="32">
                  <c:v>0.2553</c:v>
                </c:pt>
                <c:pt idx="33">
                  <c:v>0.2292</c:v>
                </c:pt>
                <c:pt idx="34">
                  <c:v>0.2256</c:v>
                </c:pt>
                <c:pt idx="35">
                  <c:v>0.2097</c:v>
                </c:pt>
                <c:pt idx="36">
                  <c:v>0.2523</c:v>
                </c:pt>
                <c:pt idx="37">
                  <c:v>0.2145</c:v>
                </c:pt>
                <c:pt idx="38">
                  <c:v>0.2298</c:v>
                </c:pt>
                <c:pt idx="39">
                  <c:v>0.2349</c:v>
                </c:pt>
                <c:pt idx="40">
                  <c:v>0.2385</c:v>
                </c:pt>
                <c:pt idx="41">
                  <c:v>0.177</c:v>
                </c:pt>
                <c:pt idx="42">
                  <c:v>0.2061</c:v>
                </c:pt>
                <c:pt idx="43">
                  <c:v>0.2028</c:v>
                </c:pt>
                <c:pt idx="44">
                  <c:v>0.183</c:v>
                </c:pt>
                <c:pt idx="45">
                  <c:v>0.2166</c:v>
                </c:pt>
                <c:pt idx="46">
                  <c:v>0.2013</c:v>
                </c:pt>
                <c:pt idx="47">
                  <c:v>0.2415</c:v>
                </c:pt>
                <c:pt idx="48">
                  <c:v>0.2529</c:v>
                </c:pt>
                <c:pt idx="49">
                  <c:v>0.252</c:v>
                </c:pt>
                <c:pt idx="50">
                  <c:v>0.2049</c:v>
                </c:pt>
                <c:pt idx="51">
                  <c:v>0.2145</c:v>
                </c:pt>
                <c:pt idx="52">
                  <c:v>0.2175</c:v>
                </c:pt>
                <c:pt idx="53">
                  <c:v>0.219</c:v>
                </c:pt>
                <c:pt idx="54">
                  <c:v>0.2307</c:v>
                </c:pt>
                <c:pt idx="55">
                  <c:v>0.1908</c:v>
                </c:pt>
                <c:pt idx="56">
                  <c:v>0.2079</c:v>
                </c:pt>
                <c:pt idx="57">
                  <c:v>0.2295</c:v>
                </c:pt>
                <c:pt idx="58">
                  <c:v>0.2517</c:v>
                </c:pt>
                <c:pt idx="59">
                  <c:v>0.2148</c:v>
                </c:pt>
                <c:pt idx="60">
                  <c:v>0.2496</c:v>
                </c:pt>
                <c:pt idx="61">
                  <c:v>0.2064</c:v>
                </c:pt>
                <c:pt idx="62">
                  <c:v>0.2007</c:v>
                </c:pt>
                <c:pt idx="63">
                  <c:v>0.2565</c:v>
                </c:pt>
                <c:pt idx="64">
                  <c:v>0.225</c:v>
                </c:pt>
                <c:pt idx="65">
                  <c:v>0.2466</c:v>
                </c:pt>
                <c:pt idx="66">
                  <c:v>0.2073</c:v>
                </c:pt>
                <c:pt idx="67">
                  <c:v>0.222</c:v>
                </c:pt>
                <c:pt idx="68">
                  <c:v>0.2538</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numCache>
            </c:numRef>
          </c:yVal>
          <c:smooth val="0"/>
        </c:ser>
        <c:dLbls>
          <c:showLegendKey val="0"/>
          <c:showVal val="0"/>
          <c:showCatName val="0"/>
          <c:showSerName val="0"/>
          <c:showPercent val="0"/>
          <c:showBubbleSize val="0"/>
        </c:dLbls>
        <c:axId val="839281535"/>
        <c:axId val="199135983"/>
      </c:scatterChart>
      <c:valAx>
        <c:axId val="839281535"/>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99135983"/>
        <c:crosses val="autoZero"/>
        <c:crossBetween val="midCat"/>
      </c:valAx>
      <c:valAx>
        <c:axId val="199135983"/>
        <c:scaling>
          <c:orientation val="minMax"/>
          <c:max val="1.2"/>
          <c:min val="0.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839281535"/>
        <c:crosses val="autoZero"/>
        <c:crossBetween val="midCat"/>
      </c:valAx>
      <c:spPr>
        <a:noFill/>
        <a:ln>
          <a:noFill/>
        </a:ln>
        <a:effectLst>
          <a:outerShdw blurRad="50800" dist="38100" dir="2700000" algn="tl" rotWithShape="0">
            <a:prstClr val="black">
              <a:alpha val="40000"/>
            </a:prstClr>
          </a:outerShdw>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externalData r:id="rId1">
    <c:autoUpdate val="0"/>
  </c:externalData>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zh-CN" sz="1400" b="0" i="0" u="none" strike="noStrike" kern="1200" spc="0" baseline="0">
                <a:solidFill>
                  <a:schemeClr val="tx1">
                    <a:lumMod val="65000"/>
                    <a:lumOff val="35000"/>
                  </a:schemeClr>
                </a:solidFill>
                <a:latin typeface="+mn-lt"/>
                <a:ea typeface="+mn-ea"/>
                <a:cs typeface="+mn-cs"/>
              </a:defRPr>
            </a:pPr>
            <a:r>
              <a:rPr altLang="en-US" sz="1100"/>
              <a:t>课程目标</a:t>
            </a:r>
            <a:r>
              <a:rPr lang="en-US" altLang="zh-CN" sz="1100"/>
              <a:t>4</a:t>
            </a:r>
            <a:r>
              <a:rPr altLang="en-US" sz="1100"/>
              <a:t>达成度</a:t>
            </a:r>
            <a:endParaRPr lang="en-US" altLang="zh-CN" sz="1100"/>
          </a:p>
        </c:rich>
      </c:tx>
      <c:layout/>
      <c:overlay val="0"/>
      <c:spPr>
        <a:noFill/>
        <a:ln>
          <a:noFill/>
        </a:ln>
        <a:effectLst/>
      </c:spPr>
    </c:title>
    <c:autoTitleDeleted val="0"/>
    <c:plotArea>
      <c:layout>
        <c:manualLayout>
          <c:layoutTarget val="inner"/>
          <c:xMode val="edge"/>
          <c:yMode val="edge"/>
          <c:x val="0.103562945368171"/>
          <c:y val="0.173022598870056"/>
          <c:w val="0.845368171021378"/>
          <c:h val="0.656214689265537"/>
        </c:manualLayout>
      </c:layout>
      <c:scatterChart>
        <c:scatterStyle val="marker"/>
        <c:varyColors val="0"/>
        <c:ser>
          <c:idx val="0"/>
          <c:order val="0"/>
          <c:tx>
            <c:strRef>
              <c:f>'7、散点图'!$O$2</c:f>
              <c:strCache>
                <c:ptCount val="1"/>
                <c:pt idx="0">
                  <c:v>0</c:v>
                </c:pt>
              </c:strCache>
            </c:strRef>
          </c:tx>
          <c:spPr>
            <a:ln w="19050" cap="rnd">
              <a:noFill/>
              <a:round/>
            </a:ln>
            <a:effectLst/>
          </c:spPr>
          <c:marker>
            <c:symbol val="circle"/>
            <c:size val="5"/>
            <c:spPr>
              <a:noFill/>
              <a:ln w="9525">
                <a:solidFill>
                  <a:schemeClr val="accent1"/>
                </a:solidFill>
              </a:ln>
              <a:effectLst/>
            </c:spPr>
          </c:marker>
          <c:dLbls>
            <c:delete val="1"/>
          </c:dLbls>
          <c:trendline>
            <c:spPr>
              <a:ln w="28575" cap="rnd" cmpd="sng">
                <a:solidFill>
                  <a:schemeClr val="accent1"/>
                </a:solidFill>
                <a:prstDash val="solid"/>
              </a:ln>
              <a:effectLst/>
            </c:spPr>
            <c:trendlineType val="linear"/>
            <c:dispRSqr val="0"/>
            <c:dispEq val="0"/>
          </c:trendline>
          <c:yVal>
            <c:numRef>
              <c:f>'7、散点图'!$O$3:$O$90</c:f>
              <c:numCache>
                <c:formatCode>General</c:formatCode>
                <c:ptCount val="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numCache>
            </c:numRef>
          </c:yVal>
          <c:smooth val="0"/>
        </c:ser>
        <c:dLbls>
          <c:showLegendKey val="0"/>
          <c:showVal val="0"/>
          <c:showCatName val="0"/>
          <c:showSerName val="0"/>
          <c:showPercent val="0"/>
          <c:showBubbleSize val="0"/>
        </c:dLbls>
        <c:axId val="839281535"/>
        <c:axId val="199135983"/>
      </c:scatterChart>
      <c:valAx>
        <c:axId val="839281535"/>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99135983"/>
        <c:crosses val="autoZero"/>
        <c:crossBetween val="midCat"/>
      </c:valAx>
      <c:valAx>
        <c:axId val="199135983"/>
        <c:scaling>
          <c:orientation val="minMax"/>
          <c:max val="1.2"/>
          <c:min val="0.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839281535"/>
        <c:crosses val="autoZero"/>
        <c:crossBetween val="midCat"/>
      </c:valAx>
      <c:spPr>
        <a:noFill/>
        <a:ln>
          <a:noFill/>
        </a:ln>
        <a:effectLst>
          <a:outerShdw blurRad="50800" dist="38100" dir="2700000" algn="tl" rotWithShape="0">
            <a:prstClr val="black">
              <a:alpha val="40000"/>
            </a:prstClr>
          </a:outerShdw>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externalData r:id="rId1">
    <c:autoUpdate val="0"/>
  </c:externalData>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zh-CN" sz="1400" b="0" i="0" u="none" strike="noStrike" kern="1200" spc="0" baseline="0">
                <a:solidFill>
                  <a:schemeClr val="tx1">
                    <a:lumMod val="65000"/>
                    <a:lumOff val="35000"/>
                  </a:schemeClr>
                </a:solidFill>
                <a:latin typeface="+mn-lt"/>
                <a:ea typeface="+mn-ea"/>
                <a:cs typeface="+mn-cs"/>
              </a:defRPr>
            </a:pPr>
            <a:r>
              <a:rPr altLang="en-US" sz="1100"/>
              <a:t>课程目标</a:t>
            </a:r>
            <a:r>
              <a:rPr lang="en-US" altLang="zh-CN" sz="1100"/>
              <a:t>5</a:t>
            </a:r>
            <a:r>
              <a:rPr altLang="en-US" sz="1100"/>
              <a:t>达成度</a:t>
            </a:r>
            <a:endParaRPr lang="en-US" altLang="zh-CN" sz="1100"/>
          </a:p>
        </c:rich>
      </c:tx>
      <c:layout/>
      <c:overlay val="0"/>
      <c:spPr>
        <a:noFill/>
        <a:ln>
          <a:noFill/>
        </a:ln>
        <a:effectLst/>
      </c:spPr>
    </c:title>
    <c:autoTitleDeleted val="0"/>
    <c:plotArea>
      <c:layout>
        <c:manualLayout>
          <c:layoutTarget val="inner"/>
          <c:xMode val="edge"/>
          <c:yMode val="edge"/>
          <c:x val="0.103562945368171"/>
          <c:y val="0.173022598870056"/>
          <c:w val="0.845368171021378"/>
          <c:h val="0.656214689265537"/>
        </c:manualLayout>
      </c:layout>
      <c:scatterChart>
        <c:scatterStyle val="marker"/>
        <c:varyColors val="0"/>
        <c:ser>
          <c:idx val="0"/>
          <c:order val="0"/>
          <c:tx>
            <c:strRef>
              <c:f>'7、散点图'!$P$2</c:f>
              <c:strCache>
                <c:ptCount val="1"/>
                <c:pt idx="0">
                  <c:v>0</c:v>
                </c:pt>
              </c:strCache>
            </c:strRef>
          </c:tx>
          <c:spPr>
            <a:ln w="19050" cap="rnd">
              <a:noFill/>
              <a:round/>
            </a:ln>
            <a:effectLst/>
          </c:spPr>
          <c:marker>
            <c:symbol val="circle"/>
            <c:size val="5"/>
            <c:spPr>
              <a:noFill/>
              <a:ln w="9525">
                <a:solidFill>
                  <a:schemeClr val="accent1"/>
                </a:solidFill>
              </a:ln>
              <a:effectLst/>
            </c:spPr>
          </c:marker>
          <c:dLbls>
            <c:delete val="1"/>
          </c:dLbls>
          <c:trendline>
            <c:spPr>
              <a:ln w="28575" cap="rnd" cmpd="sng">
                <a:solidFill>
                  <a:schemeClr val="accent1"/>
                </a:solidFill>
                <a:prstDash val="solid"/>
              </a:ln>
              <a:effectLst/>
            </c:spPr>
            <c:trendlineType val="linear"/>
            <c:dispRSqr val="0"/>
            <c:dispEq val="0"/>
          </c:trendline>
          <c:yVal>
            <c:numRef>
              <c:f>'7、散点图'!$P$3:$P$90</c:f>
              <c:numCache>
                <c:formatCode>General</c:formatCode>
                <c:ptCount val="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numCache>
            </c:numRef>
          </c:yVal>
          <c:smooth val="0"/>
        </c:ser>
        <c:dLbls>
          <c:showLegendKey val="0"/>
          <c:showVal val="0"/>
          <c:showCatName val="0"/>
          <c:showSerName val="0"/>
          <c:showPercent val="0"/>
          <c:showBubbleSize val="0"/>
        </c:dLbls>
        <c:axId val="839281535"/>
        <c:axId val="199135983"/>
      </c:scatterChart>
      <c:valAx>
        <c:axId val="839281535"/>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99135983"/>
        <c:crosses val="autoZero"/>
        <c:crossBetween val="midCat"/>
      </c:valAx>
      <c:valAx>
        <c:axId val="199135983"/>
        <c:scaling>
          <c:orientation val="minMax"/>
          <c:max val="1.2"/>
          <c:min val="0.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839281535"/>
        <c:crosses val="autoZero"/>
        <c:crossBetween val="midCat"/>
      </c:valAx>
      <c:spPr>
        <a:noFill/>
        <a:ln>
          <a:noFill/>
        </a:ln>
        <a:effectLst>
          <a:outerShdw blurRad="50800" dist="38100" dir="2700000" algn="tl" rotWithShape="0">
            <a:prstClr val="black">
              <a:alpha val="40000"/>
            </a:prstClr>
          </a:outerShdw>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externalData r:id="rId1">
    <c:autoUpdate val="0"/>
  </c:externalData>
</c:chartSpace>
</file>

<file path=xl/charts/chart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zh-CN" sz="1400" b="0" i="0" u="none" strike="noStrike" kern="1200" spc="0" baseline="0">
                <a:solidFill>
                  <a:schemeClr val="tx1">
                    <a:lumMod val="65000"/>
                    <a:lumOff val="35000"/>
                  </a:schemeClr>
                </a:solidFill>
                <a:latin typeface="+mn-lt"/>
                <a:ea typeface="+mn-ea"/>
                <a:cs typeface="+mn-cs"/>
              </a:defRPr>
            </a:pPr>
            <a:r>
              <a:rPr altLang="en-US" sz="1100"/>
              <a:t>课程目标</a:t>
            </a:r>
            <a:r>
              <a:rPr lang="en-US" altLang="zh-CN" sz="1100"/>
              <a:t>6</a:t>
            </a:r>
            <a:r>
              <a:rPr altLang="en-US" sz="1100"/>
              <a:t>达成度</a:t>
            </a:r>
            <a:endParaRPr lang="en-US" altLang="zh-CN" sz="1100"/>
          </a:p>
        </c:rich>
      </c:tx>
      <c:layout/>
      <c:overlay val="0"/>
      <c:spPr>
        <a:noFill/>
        <a:ln>
          <a:noFill/>
        </a:ln>
        <a:effectLst/>
      </c:spPr>
    </c:title>
    <c:autoTitleDeleted val="0"/>
    <c:plotArea>
      <c:layout>
        <c:manualLayout>
          <c:layoutTarget val="inner"/>
          <c:xMode val="edge"/>
          <c:yMode val="edge"/>
          <c:x val="0.103562945368171"/>
          <c:y val="0.173022598870056"/>
          <c:w val="0.845368171021378"/>
          <c:h val="0.656214689265537"/>
        </c:manualLayout>
      </c:layout>
      <c:scatterChart>
        <c:scatterStyle val="marker"/>
        <c:varyColors val="0"/>
        <c:ser>
          <c:idx val="0"/>
          <c:order val="0"/>
          <c:tx>
            <c:strRef>
              <c:f>'7、散点图'!$Q$2</c:f>
              <c:strCache>
                <c:ptCount val="1"/>
                <c:pt idx="0">
                  <c:v>0</c:v>
                </c:pt>
              </c:strCache>
            </c:strRef>
          </c:tx>
          <c:spPr>
            <a:ln w="19050" cap="rnd">
              <a:noFill/>
              <a:round/>
            </a:ln>
            <a:effectLst/>
          </c:spPr>
          <c:marker>
            <c:symbol val="circle"/>
            <c:size val="5"/>
            <c:spPr>
              <a:noFill/>
              <a:ln w="9525">
                <a:solidFill>
                  <a:schemeClr val="accent1"/>
                </a:solidFill>
              </a:ln>
              <a:effectLst/>
            </c:spPr>
          </c:marker>
          <c:dLbls>
            <c:delete val="1"/>
          </c:dLbls>
          <c:trendline>
            <c:spPr>
              <a:ln w="28575" cap="rnd" cmpd="sng">
                <a:solidFill>
                  <a:schemeClr val="accent1"/>
                </a:solidFill>
                <a:prstDash val="solid"/>
              </a:ln>
              <a:effectLst/>
            </c:spPr>
            <c:trendlineType val="linear"/>
            <c:dispRSqr val="0"/>
            <c:dispEq val="0"/>
          </c:trendline>
          <c:yVal>
            <c:numRef>
              <c:f>'7、散点图'!$Q$3:$Q$90</c:f>
              <c:numCache>
                <c:formatCode>General</c:formatCode>
                <c:ptCount val="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numCache>
            </c:numRef>
          </c:yVal>
          <c:smooth val="0"/>
        </c:ser>
        <c:dLbls>
          <c:showLegendKey val="0"/>
          <c:showVal val="0"/>
          <c:showCatName val="0"/>
          <c:showSerName val="0"/>
          <c:showPercent val="0"/>
          <c:showBubbleSize val="0"/>
        </c:dLbls>
        <c:axId val="839281535"/>
        <c:axId val="199135983"/>
      </c:scatterChart>
      <c:valAx>
        <c:axId val="839281535"/>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99135983"/>
        <c:crosses val="autoZero"/>
        <c:crossBetween val="midCat"/>
      </c:valAx>
      <c:valAx>
        <c:axId val="199135983"/>
        <c:scaling>
          <c:orientation val="minMax"/>
          <c:max val="1.2"/>
          <c:min val="0.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839281535"/>
        <c:crosses val="autoZero"/>
        <c:crossBetween val="midCat"/>
      </c:valAx>
      <c:spPr>
        <a:noFill/>
        <a:ln>
          <a:noFill/>
        </a:ln>
        <a:effectLst>
          <a:outerShdw blurRad="50800" dist="38100" dir="2700000" algn="tl" rotWithShape="0">
            <a:prstClr val="black">
              <a:alpha val="40000"/>
            </a:prstClr>
          </a:outerShdw>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externalData r:id="rId1">
    <c:autoUpdate val="0"/>
  </c:externalData>
</c:chartSpace>
</file>

<file path=xl/charts/chart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zh-CN" sz="1400" b="0" i="0" u="none" strike="noStrike" kern="1200" spc="0" baseline="0">
                <a:solidFill>
                  <a:schemeClr val="tx1">
                    <a:lumMod val="65000"/>
                    <a:lumOff val="35000"/>
                  </a:schemeClr>
                </a:solidFill>
                <a:latin typeface="+mn-lt"/>
                <a:ea typeface="+mn-ea"/>
                <a:cs typeface="+mn-cs"/>
              </a:defRPr>
            </a:pPr>
            <a:r>
              <a:rPr altLang="en-US" sz="1100"/>
              <a:t>课程目标</a:t>
            </a:r>
            <a:r>
              <a:rPr lang="en-US" altLang="zh-CN" sz="1100"/>
              <a:t>7</a:t>
            </a:r>
            <a:r>
              <a:rPr altLang="en-US" sz="1100"/>
              <a:t>达成度</a:t>
            </a:r>
            <a:endParaRPr lang="en-US" altLang="zh-CN" sz="1100"/>
          </a:p>
        </c:rich>
      </c:tx>
      <c:layout/>
      <c:overlay val="0"/>
      <c:spPr>
        <a:noFill/>
        <a:ln>
          <a:noFill/>
        </a:ln>
        <a:effectLst/>
      </c:spPr>
    </c:title>
    <c:autoTitleDeleted val="0"/>
    <c:plotArea>
      <c:layout>
        <c:manualLayout>
          <c:layoutTarget val="inner"/>
          <c:xMode val="edge"/>
          <c:yMode val="edge"/>
          <c:x val="0.103562945368171"/>
          <c:y val="0.173022598870056"/>
          <c:w val="0.845368171021378"/>
          <c:h val="0.656214689265537"/>
        </c:manualLayout>
      </c:layout>
      <c:scatterChart>
        <c:scatterStyle val="marker"/>
        <c:varyColors val="0"/>
        <c:ser>
          <c:idx val="0"/>
          <c:order val="0"/>
          <c:tx>
            <c:strRef>
              <c:f>'7、散点图'!$R$2</c:f>
              <c:strCache>
                <c:ptCount val="1"/>
                <c:pt idx="0">
                  <c:v>0</c:v>
                </c:pt>
              </c:strCache>
            </c:strRef>
          </c:tx>
          <c:spPr>
            <a:ln w="19050" cap="rnd">
              <a:noFill/>
              <a:round/>
            </a:ln>
            <a:effectLst/>
          </c:spPr>
          <c:marker>
            <c:symbol val="circle"/>
            <c:size val="5"/>
            <c:spPr>
              <a:noFill/>
              <a:ln w="9525">
                <a:solidFill>
                  <a:schemeClr val="accent1"/>
                </a:solidFill>
              </a:ln>
              <a:effectLst/>
            </c:spPr>
          </c:marker>
          <c:dLbls>
            <c:delete val="1"/>
          </c:dLbls>
          <c:trendline>
            <c:spPr>
              <a:ln w="28575" cap="rnd" cmpd="sng">
                <a:solidFill>
                  <a:schemeClr val="accent1"/>
                </a:solidFill>
                <a:prstDash val="solid"/>
              </a:ln>
              <a:effectLst/>
            </c:spPr>
            <c:trendlineType val="linear"/>
            <c:dispRSqr val="0"/>
            <c:dispEq val="0"/>
          </c:trendline>
          <c:yVal>
            <c:numRef>
              <c:f>'7、散点图'!$R$3:$R$90</c:f>
              <c:numCache>
                <c:formatCode>General</c:formatCode>
                <c:ptCount val="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numCache>
            </c:numRef>
          </c:yVal>
          <c:smooth val="0"/>
        </c:ser>
        <c:dLbls>
          <c:showLegendKey val="0"/>
          <c:showVal val="0"/>
          <c:showCatName val="0"/>
          <c:showSerName val="0"/>
          <c:showPercent val="0"/>
          <c:showBubbleSize val="0"/>
        </c:dLbls>
        <c:axId val="839281535"/>
        <c:axId val="199135983"/>
      </c:scatterChart>
      <c:valAx>
        <c:axId val="839281535"/>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99135983"/>
        <c:crosses val="autoZero"/>
        <c:crossBetween val="midCat"/>
      </c:valAx>
      <c:valAx>
        <c:axId val="199135983"/>
        <c:scaling>
          <c:orientation val="minMax"/>
          <c:max val="1.2"/>
          <c:min val="0.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839281535"/>
        <c:crosses val="autoZero"/>
        <c:crossBetween val="midCat"/>
      </c:valAx>
      <c:spPr>
        <a:noFill/>
        <a:ln>
          <a:noFill/>
        </a:ln>
        <a:effectLst>
          <a:outerShdw blurRad="50800" dist="38100" dir="2700000" algn="tl" rotWithShape="0">
            <a:prstClr val="black">
              <a:alpha val="40000"/>
            </a:prstClr>
          </a:outerShdw>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externalData r:id="rId1">
    <c:autoUpdate val="0"/>
  </c:externalData>
</c:chartSpace>
</file>

<file path=xl/charts/chart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zh-CN" sz="1400" b="0" i="0" u="none" strike="noStrike" kern="1200" spc="0" baseline="0">
                <a:solidFill>
                  <a:schemeClr val="tx1">
                    <a:lumMod val="65000"/>
                    <a:lumOff val="35000"/>
                  </a:schemeClr>
                </a:solidFill>
                <a:latin typeface="+mn-lt"/>
                <a:ea typeface="+mn-ea"/>
                <a:cs typeface="+mn-cs"/>
              </a:defRPr>
            </a:pPr>
            <a:r>
              <a:rPr altLang="en-US" sz="1100"/>
              <a:t>课程目标</a:t>
            </a:r>
            <a:r>
              <a:rPr lang="en-US" altLang="zh-CN" sz="1100"/>
              <a:t>8</a:t>
            </a:r>
            <a:r>
              <a:rPr altLang="en-US" sz="1100"/>
              <a:t>达成度</a:t>
            </a:r>
            <a:endParaRPr lang="en-US" altLang="zh-CN" sz="1100"/>
          </a:p>
        </c:rich>
      </c:tx>
      <c:layout/>
      <c:overlay val="0"/>
      <c:spPr>
        <a:noFill/>
        <a:ln>
          <a:noFill/>
        </a:ln>
        <a:effectLst/>
      </c:spPr>
    </c:title>
    <c:autoTitleDeleted val="0"/>
    <c:plotArea>
      <c:layout>
        <c:manualLayout>
          <c:layoutTarget val="inner"/>
          <c:xMode val="edge"/>
          <c:yMode val="edge"/>
          <c:x val="0.103562945368171"/>
          <c:y val="0.173022598870056"/>
          <c:w val="0.845368171021378"/>
          <c:h val="0.656214689265537"/>
        </c:manualLayout>
      </c:layout>
      <c:scatterChart>
        <c:scatterStyle val="marker"/>
        <c:varyColors val="0"/>
        <c:ser>
          <c:idx val="0"/>
          <c:order val="0"/>
          <c:tx>
            <c:strRef>
              <c:f>'7、散点图'!$S$2</c:f>
              <c:strCache>
                <c:ptCount val="1"/>
                <c:pt idx="0">
                  <c:v>0</c:v>
                </c:pt>
              </c:strCache>
            </c:strRef>
          </c:tx>
          <c:spPr>
            <a:ln w="19050" cap="rnd">
              <a:noFill/>
              <a:round/>
            </a:ln>
            <a:effectLst/>
          </c:spPr>
          <c:marker>
            <c:symbol val="circle"/>
            <c:size val="5"/>
            <c:spPr>
              <a:noFill/>
              <a:ln w="9525">
                <a:solidFill>
                  <a:schemeClr val="accent1"/>
                </a:solidFill>
              </a:ln>
              <a:effectLst/>
            </c:spPr>
          </c:marker>
          <c:dLbls>
            <c:delete val="1"/>
          </c:dLbls>
          <c:trendline>
            <c:spPr>
              <a:ln w="28575" cap="rnd" cmpd="sng">
                <a:solidFill>
                  <a:schemeClr val="accent1"/>
                </a:solidFill>
                <a:prstDash val="solid"/>
              </a:ln>
              <a:effectLst/>
            </c:spPr>
            <c:trendlineType val="linear"/>
            <c:dispRSqr val="0"/>
            <c:dispEq val="0"/>
          </c:trendline>
          <c:yVal>
            <c:numRef>
              <c:f>'7、散点图'!$S$3:$S$71</c:f>
              <c:numCache>
                <c:formatCode>General</c:formatCode>
                <c:ptCount val="6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numCache>
            </c:numRef>
          </c:yVal>
          <c:smooth val="0"/>
        </c:ser>
        <c:dLbls>
          <c:showLegendKey val="0"/>
          <c:showVal val="0"/>
          <c:showCatName val="0"/>
          <c:showSerName val="0"/>
          <c:showPercent val="0"/>
          <c:showBubbleSize val="0"/>
        </c:dLbls>
        <c:axId val="839281535"/>
        <c:axId val="199135983"/>
      </c:scatterChart>
      <c:valAx>
        <c:axId val="839281535"/>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199135983"/>
        <c:crosses val="autoZero"/>
        <c:crossBetween val="midCat"/>
      </c:valAx>
      <c:valAx>
        <c:axId val="199135983"/>
        <c:scaling>
          <c:orientation val="minMax"/>
          <c:max val="1.2"/>
          <c:min val="0.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839281535"/>
        <c:crosses val="autoZero"/>
        <c:crossBetween val="midCat"/>
      </c:valAx>
      <c:spPr>
        <a:noFill/>
        <a:ln>
          <a:noFill/>
        </a:ln>
        <a:effectLst>
          <a:outerShdw blurRad="50800" dist="38100" dir="2700000" algn="tl" rotWithShape="0">
            <a:prstClr val="black">
              <a:alpha val="40000"/>
            </a:prstClr>
          </a:outerShdw>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externalData r:id="rId1">
    <c:autoUpdate val="0"/>
  </c:externalData>
</c:chartSpace>
</file>

<file path=xl/charts/colors1.xml><?xml version="1.0" encoding="utf-8"?>
<cs:colorStyle xmlns:cs="http://schemas.microsoft.com/office/drawing/2012/chartStyle" xmlns:a="http://schemas.openxmlformats.org/drawingml/2006/main" meth="acrossLinear" id="2">
  <a:schemeClr val="accent1"/>
  <a:schemeClr val="accent2"/>
  <a:schemeClr val="accent3"/>
  <a:schemeClr val="accent4"/>
  <a:schemeClr val="accent5"/>
  <a:schemeClr val="accent6"/>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4" Type="http://schemas.openxmlformats.org/officeDocument/2006/relationships/image" Target="../media/image2.png"/><Relationship Id="rId3" Type="http://schemas.openxmlformats.org/officeDocument/2006/relationships/image" Target="NULL" TargetMode="External"/><Relationship Id="rId2" Type="http://schemas.openxmlformats.org/officeDocument/2006/relationships/image" Target="../media/image1.GIF"/><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7" Type="http://schemas.openxmlformats.org/officeDocument/2006/relationships/chart" Target="../charts/chart8.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vmlDrawing4.vml.rels><?xml version="1.0" encoding="UTF-8" standalone="yes"?>
<Relationships xmlns="http://schemas.openxmlformats.org/package/2006/relationships"><Relationship Id="rId1" Type="http://schemas.openxmlformats.org/officeDocument/2006/relationships/image" Target="../media/image3.wmf"/></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4</xdr:col>
      <xdr:colOff>36830</xdr:colOff>
      <xdr:row>27</xdr:row>
      <xdr:rowOff>63500</xdr:rowOff>
    </xdr:from>
    <xdr:to>
      <xdr:col>7</xdr:col>
      <xdr:colOff>956945</xdr:colOff>
      <xdr:row>40</xdr:row>
      <xdr:rowOff>62865</xdr:rowOff>
    </xdr:to>
    <xdr:graphicFrame>
      <xdr:nvGraphicFramePr>
        <xdr:cNvPr id="32766" name="图表 1"/>
        <xdr:cNvGraphicFramePr/>
      </xdr:nvGraphicFramePr>
      <xdr:xfrm>
        <a:off x="3211195" y="4866640"/>
        <a:ext cx="3891280" cy="231076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149860</xdr:colOff>
      <xdr:row>0</xdr:row>
      <xdr:rowOff>1270</xdr:rowOff>
    </xdr:from>
    <xdr:to>
      <xdr:col>4</xdr:col>
      <xdr:colOff>607060</xdr:colOff>
      <xdr:row>6</xdr:row>
      <xdr:rowOff>175260</xdr:rowOff>
    </xdr:to>
    <xdr:sp>
      <xdr:nvSpPr>
        <xdr:cNvPr id="2" name="文本框 1"/>
        <xdr:cNvSpPr txBox="1"/>
      </xdr:nvSpPr>
      <xdr:spPr>
        <a:xfrm>
          <a:off x="353060" y="1270"/>
          <a:ext cx="3428365" cy="124333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twoCellAnchor>
    <xdr:from>
      <xdr:col>4</xdr:col>
      <xdr:colOff>17145</xdr:colOff>
      <xdr:row>53</xdr:row>
      <xdr:rowOff>137795</xdr:rowOff>
    </xdr:from>
    <xdr:to>
      <xdr:col>7</xdr:col>
      <xdr:colOff>110490</xdr:colOff>
      <xdr:row>60</xdr:row>
      <xdr:rowOff>137795</xdr:rowOff>
    </xdr:to>
    <xdr:sp>
      <xdr:nvSpPr>
        <xdr:cNvPr id="9" name="文本框 8"/>
        <xdr:cNvSpPr txBox="1"/>
      </xdr:nvSpPr>
      <xdr:spPr>
        <a:xfrm rot="19920000">
          <a:off x="3191510" y="9878695"/>
          <a:ext cx="3064510" cy="124460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twoCellAnchor editAs="oneCell">
    <xdr:from>
      <xdr:col>11</xdr:col>
      <xdr:colOff>0</xdr:colOff>
      <xdr:row>47</xdr:row>
      <xdr:rowOff>0</xdr:rowOff>
    </xdr:from>
    <xdr:to>
      <xdr:col>11</xdr:col>
      <xdr:colOff>25400</xdr:colOff>
      <xdr:row>47</xdr:row>
      <xdr:rowOff>50800</xdr:rowOff>
    </xdr:to>
    <xdr:pic>
      <xdr:nvPicPr>
        <xdr:cNvPr id="12" name="图片 11"/>
        <xdr:cNvPicPr>
          <a:picLocks noChangeAspect="1"/>
        </xdr:cNvPicPr>
      </xdr:nvPicPr>
      <xdr:blipFill>
        <a:blip r:embed="rId2" r:link="rId3"/>
        <a:stretch>
          <a:fillRect/>
        </a:stretch>
      </xdr:blipFill>
      <xdr:spPr>
        <a:xfrm>
          <a:off x="9608185" y="8671560"/>
          <a:ext cx="25400" cy="50800"/>
        </a:xfrm>
        <a:prstGeom prst="rect">
          <a:avLst/>
        </a:prstGeom>
        <a:noFill/>
        <a:ln>
          <a:noFill/>
        </a:ln>
      </xdr:spPr>
    </xdr:pic>
    <xdr:clientData/>
  </xdr:twoCellAnchor>
  <xdr:twoCellAnchor editAs="oneCell">
    <xdr:from>
      <xdr:col>9</xdr:col>
      <xdr:colOff>0</xdr:colOff>
      <xdr:row>52</xdr:row>
      <xdr:rowOff>0</xdr:rowOff>
    </xdr:from>
    <xdr:to>
      <xdr:col>9</xdr:col>
      <xdr:colOff>25400</xdr:colOff>
      <xdr:row>52</xdr:row>
      <xdr:rowOff>50800</xdr:rowOff>
    </xdr:to>
    <xdr:pic>
      <xdr:nvPicPr>
        <xdr:cNvPr id="14" name="图片 13"/>
        <xdr:cNvPicPr>
          <a:picLocks noChangeAspect="1"/>
        </xdr:cNvPicPr>
      </xdr:nvPicPr>
      <xdr:blipFill>
        <a:blip r:embed="rId2" r:link="rId3"/>
        <a:stretch>
          <a:fillRect/>
        </a:stretch>
      </xdr:blipFill>
      <xdr:spPr>
        <a:xfrm>
          <a:off x="7931785" y="9563100"/>
          <a:ext cx="25400" cy="50800"/>
        </a:xfrm>
        <a:prstGeom prst="rect">
          <a:avLst/>
        </a:prstGeom>
        <a:noFill/>
        <a:ln>
          <a:noFill/>
        </a:ln>
      </xdr:spPr>
    </xdr:pic>
    <xdr:clientData/>
  </xdr:twoCellAnchor>
  <xdr:twoCellAnchor editAs="oneCell">
    <xdr:from>
      <xdr:col>6</xdr:col>
      <xdr:colOff>621665</xdr:colOff>
      <xdr:row>55</xdr:row>
      <xdr:rowOff>175895</xdr:rowOff>
    </xdr:from>
    <xdr:to>
      <xdr:col>8</xdr:col>
      <xdr:colOff>15240</xdr:colOff>
      <xdr:row>61</xdr:row>
      <xdr:rowOff>17145</xdr:rowOff>
    </xdr:to>
    <xdr:pic>
      <xdr:nvPicPr>
        <xdr:cNvPr id="15" name="图片 14" descr="aaa"/>
        <xdr:cNvPicPr>
          <a:picLocks noChangeAspect="1"/>
        </xdr:cNvPicPr>
      </xdr:nvPicPr>
      <xdr:blipFill>
        <a:blip r:embed="rId4"/>
        <a:stretch>
          <a:fillRect/>
        </a:stretch>
      </xdr:blipFill>
      <xdr:spPr>
        <a:xfrm>
          <a:off x="5912485" y="10272395"/>
          <a:ext cx="1272540" cy="908050"/>
        </a:xfrm>
        <a:prstGeom prst="rect">
          <a:avLst/>
        </a:prstGeom>
      </xdr:spPr>
    </xdr:pic>
    <xdr:clientData/>
  </xdr:twoCellAnchor>
  <xdr:twoCellAnchor>
    <xdr:from>
      <xdr:col>1</xdr:col>
      <xdr:colOff>297815</xdr:colOff>
      <xdr:row>51</xdr:row>
      <xdr:rowOff>172085</xdr:rowOff>
    </xdr:from>
    <xdr:to>
      <xdr:col>4</xdr:col>
      <xdr:colOff>391160</xdr:colOff>
      <xdr:row>58</xdr:row>
      <xdr:rowOff>172085</xdr:rowOff>
    </xdr:to>
    <xdr:sp>
      <xdr:nvSpPr>
        <xdr:cNvPr id="16" name="文本框 15"/>
        <xdr:cNvSpPr txBox="1"/>
      </xdr:nvSpPr>
      <xdr:spPr>
        <a:xfrm rot="19920000">
          <a:off x="501015" y="9557385"/>
          <a:ext cx="3064510" cy="124460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twoCellAnchor>
    <xdr:from>
      <xdr:col>1</xdr:col>
      <xdr:colOff>13335</xdr:colOff>
      <xdr:row>5</xdr:row>
      <xdr:rowOff>155575</xdr:rowOff>
    </xdr:from>
    <xdr:to>
      <xdr:col>4</xdr:col>
      <xdr:colOff>106680</xdr:colOff>
      <xdr:row>13</xdr:row>
      <xdr:rowOff>22225</xdr:rowOff>
    </xdr:to>
    <xdr:sp>
      <xdr:nvSpPr>
        <xdr:cNvPr id="17" name="文本框 16"/>
        <xdr:cNvSpPr txBox="1"/>
      </xdr:nvSpPr>
      <xdr:spPr>
        <a:xfrm rot="19920000">
          <a:off x="216535" y="1047115"/>
          <a:ext cx="3064510" cy="128905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twoCellAnchor>
    <xdr:from>
      <xdr:col>1</xdr:col>
      <xdr:colOff>323850</xdr:colOff>
      <xdr:row>31</xdr:row>
      <xdr:rowOff>95885</xdr:rowOff>
    </xdr:from>
    <xdr:to>
      <xdr:col>4</xdr:col>
      <xdr:colOff>417195</xdr:colOff>
      <xdr:row>38</xdr:row>
      <xdr:rowOff>140335</xdr:rowOff>
    </xdr:to>
    <xdr:sp>
      <xdr:nvSpPr>
        <xdr:cNvPr id="18" name="文本框 17"/>
        <xdr:cNvSpPr txBox="1"/>
      </xdr:nvSpPr>
      <xdr:spPr>
        <a:xfrm rot="19920000">
          <a:off x="527050" y="5610225"/>
          <a:ext cx="3064510" cy="128905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twoCellAnchor>
    <xdr:from>
      <xdr:col>4</xdr:col>
      <xdr:colOff>814070</xdr:colOff>
      <xdr:row>20</xdr:row>
      <xdr:rowOff>45720</xdr:rowOff>
    </xdr:from>
    <xdr:to>
      <xdr:col>7</xdr:col>
      <xdr:colOff>907415</xdr:colOff>
      <xdr:row>27</xdr:row>
      <xdr:rowOff>90170</xdr:rowOff>
    </xdr:to>
    <xdr:sp>
      <xdr:nvSpPr>
        <xdr:cNvPr id="19" name="文本框 18"/>
        <xdr:cNvSpPr txBox="1"/>
      </xdr:nvSpPr>
      <xdr:spPr>
        <a:xfrm rot="19920000">
          <a:off x="3988435" y="3604260"/>
          <a:ext cx="3064510" cy="128905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twoCellAnchor>
    <xdr:from>
      <xdr:col>1</xdr:col>
      <xdr:colOff>355600</xdr:colOff>
      <xdr:row>19</xdr:row>
      <xdr:rowOff>3810</xdr:rowOff>
    </xdr:from>
    <xdr:to>
      <xdr:col>4</xdr:col>
      <xdr:colOff>448945</xdr:colOff>
      <xdr:row>26</xdr:row>
      <xdr:rowOff>48260</xdr:rowOff>
    </xdr:to>
    <xdr:sp>
      <xdr:nvSpPr>
        <xdr:cNvPr id="20" name="文本框 19"/>
        <xdr:cNvSpPr txBox="1"/>
      </xdr:nvSpPr>
      <xdr:spPr>
        <a:xfrm rot="19920000">
          <a:off x="558800" y="3384550"/>
          <a:ext cx="3064510" cy="128905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twoCellAnchor>
    <xdr:from>
      <xdr:col>1</xdr:col>
      <xdr:colOff>524510</xdr:colOff>
      <xdr:row>42</xdr:row>
      <xdr:rowOff>80645</xdr:rowOff>
    </xdr:from>
    <xdr:to>
      <xdr:col>4</xdr:col>
      <xdr:colOff>617855</xdr:colOff>
      <xdr:row>48</xdr:row>
      <xdr:rowOff>66675</xdr:rowOff>
    </xdr:to>
    <xdr:sp>
      <xdr:nvSpPr>
        <xdr:cNvPr id="21" name="文本框 20"/>
        <xdr:cNvSpPr txBox="1"/>
      </xdr:nvSpPr>
      <xdr:spPr>
        <a:xfrm rot="19920000">
          <a:off x="727710" y="7628255"/>
          <a:ext cx="3064510" cy="128905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twoCellAnchor>
    <xdr:from>
      <xdr:col>4</xdr:col>
      <xdr:colOff>683895</xdr:colOff>
      <xdr:row>42</xdr:row>
      <xdr:rowOff>125095</xdr:rowOff>
    </xdr:from>
    <xdr:to>
      <xdr:col>7</xdr:col>
      <xdr:colOff>777240</xdr:colOff>
      <xdr:row>48</xdr:row>
      <xdr:rowOff>111125</xdr:rowOff>
    </xdr:to>
    <xdr:sp>
      <xdr:nvSpPr>
        <xdr:cNvPr id="22" name="文本框 21"/>
        <xdr:cNvSpPr txBox="1"/>
      </xdr:nvSpPr>
      <xdr:spPr>
        <a:xfrm rot="19920000">
          <a:off x="3858260" y="7672705"/>
          <a:ext cx="3064510" cy="128905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twoCellAnchor>
    <xdr:from>
      <xdr:col>4</xdr:col>
      <xdr:colOff>701040</xdr:colOff>
      <xdr:row>5</xdr:row>
      <xdr:rowOff>157480</xdr:rowOff>
    </xdr:from>
    <xdr:to>
      <xdr:col>7</xdr:col>
      <xdr:colOff>794385</xdr:colOff>
      <xdr:row>13</xdr:row>
      <xdr:rowOff>24130</xdr:rowOff>
    </xdr:to>
    <xdr:sp>
      <xdr:nvSpPr>
        <xdr:cNvPr id="23" name="文本框 22"/>
        <xdr:cNvSpPr txBox="1"/>
      </xdr:nvSpPr>
      <xdr:spPr>
        <a:xfrm rot="19920000">
          <a:off x="3875405" y="1049020"/>
          <a:ext cx="3064510" cy="1289050"/>
        </a:xfrm>
        <a:prstGeom prst="rect">
          <a:avLst/>
        </a:prstGeom>
        <a:solidFill>
          <a:schemeClr val="lt1">
            <a:alpha val="23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2600">
              <a:ln>
                <a:noFill/>
              </a:ln>
              <a:solidFill>
                <a:schemeClr val="dk1">
                  <a:alpha val="13000"/>
                </a:schemeClr>
              </a:solidFill>
            </a:rPr>
            <a:t>专业工程认证</a:t>
          </a:r>
          <a:r>
            <a:rPr lang="en-US" altLang="zh-CN" sz="2600">
              <a:ln>
                <a:noFill/>
              </a:ln>
              <a:solidFill>
                <a:schemeClr val="dk1">
                  <a:alpha val="13000"/>
                </a:schemeClr>
              </a:solidFill>
            </a:rPr>
            <a:t>V2.0</a:t>
          </a:r>
          <a:endParaRPr lang="en-US" altLang="zh-CN" sz="2600">
            <a:ln>
              <a:noFill/>
            </a:ln>
            <a:solidFill>
              <a:schemeClr val="dk1">
                <a:alpha val="13000"/>
              </a:schemeClr>
            </a:solidFill>
          </a:endParaRPr>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2</xdr:col>
      <xdr:colOff>41910</xdr:colOff>
      <xdr:row>11</xdr:row>
      <xdr:rowOff>185420</xdr:rowOff>
    </xdr:from>
    <xdr:to>
      <xdr:col>4</xdr:col>
      <xdr:colOff>583565</xdr:colOff>
      <xdr:row>12</xdr:row>
      <xdr:rowOff>308610</xdr:rowOff>
    </xdr:to>
    <xdr:sp>
      <xdr:nvSpPr>
        <xdr:cNvPr id="2" name="文本框 1"/>
        <xdr:cNvSpPr txBox="1"/>
      </xdr:nvSpPr>
      <xdr:spPr>
        <a:xfrm rot="19920000">
          <a:off x="1163320" y="0"/>
          <a:ext cx="18624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twoCellAnchor>
    <xdr:from>
      <xdr:col>4</xdr:col>
      <xdr:colOff>542925</xdr:colOff>
      <xdr:row>13</xdr:row>
      <xdr:rowOff>368300</xdr:rowOff>
    </xdr:from>
    <xdr:to>
      <xdr:col>7</xdr:col>
      <xdr:colOff>428625</xdr:colOff>
      <xdr:row>15</xdr:row>
      <xdr:rowOff>110490</xdr:rowOff>
    </xdr:to>
    <xdr:sp>
      <xdr:nvSpPr>
        <xdr:cNvPr id="3" name="文本框 2"/>
        <xdr:cNvSpPr txBox="1"/>
      </xdr:nvSpPr>
      <xdr:spPr>
        <a:xfrm rot="19920000">
          <a:off x="2985135" y="0"/>
          <a:ext cx="18624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twoCellAnchor>
    <xdr:from>
      <xdr:col>2</xdr:col>
      <xdr:colOff>295910</xdr:colOff>
      <xdr:row>20</xdr:row>
      <xdr:rowOff>163195</xdr:rowOff>
    </xdr:from>
    <xdr:to>
      <xdr:col>5</xdr:col>
      <xdr:colOff>177165</xdr:colOff>
      <xdr:row>23</xdr:row>
      <xdr:rowOff>133985</xdr:rowOff>
    </xdr:to>
    <xdr:sp>
      <xdr:nvSpPr>
        <xdr:cNvPr id="4" name="文本框 3"/>
        <xdr:cNvSpPr txBox="1"/>
      </xdr:nvSpPr>
      <xdr:spPr>
        <a:xfrm rot="19920000">
          <a:off x="1417320" y="0"/>
          <a:ext cx="18624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twoCellAnchor>
    <xdr:from>
      <xdr:col>6</xdr:col>
      <xdr:colOff>274320</xdr:colOff>
      <xdr:row>22</xdr:row>
      <xdr:rowOff>64770</xdr:rowOff>
    </xdr:from>
    <xdr:to>
      <xdr:col>9</xdr:col>
      <xdr:colOff>128270</xdr:colOff>
      <xdr:row>25</xdr:row>
      <xdr:rowOff>35560</xdr:rowOff>
    </xdr:to>
    <xdr:sp>
      <xdr:nvSpPr>
        <xdr:cNvPr id="5" name="文本框 4"/>
        <xdr:cNvSpPr txBox="1"/>
      </xdr:nvSpPr>
      <xdr:spPr>
        <a:xfrm rot="19920000">
          <a:off x="4037330" y="0"/>
          <a:ext cx="18624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twoCellAnchor>
    <xdr:from>
      <xdr:col>3</xdr:col>
      <xdr:colOff>277495</xdr:colOff>
      <xdr:row>0</xdr:row>
      <xdr:rowOff>33655</xdr:rowOff>
    </xdr:from>
    <xdr:to>
      <xdr:col>7</xdr:col>
      <xdr:colOff>203200</xdr:colOff>
      <xdr:row>1</xdr:row>
      <xdr:rowOff>8890</xdr:rowOff>
    </xdr:to>
    <xdr:sp>
      <xdr:nvSpPr>
        <xdr:cNvPr id="6" name="文本框 5"/>
        <xdr:cNvSpPr txBox="1"/>
      </xdr:nvSpPr>
      <xdr:spPr>
        <a:xfrm>
          <a:off x="2059305" y="0"/>
          <a:ext cx="256286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twoCellAnchor>
    <xdr:from>
      <xdr:col>4</xdr:col>
      <xdr:colOff>208915</xdr:colOff>
      <xdr:row>5</xdr:row>
      <xdr:rowOff>147955</xdr:rowOff>
    </xdr:from>
    <xdr:to>
      <xdr:col>7</xdr:col>
      <xdr:colOff>323215</xdr:colOff>
      <xdr:row>7</xdr:row>
      <xdr:rowOff>59055</xdr:rowOff>
    </xdr:to>
    <xdr:sp>
      <xdr:nvSpPr>
        <xdr:cNvPr id="7" name="文本框 6"/>
        <xdr:cNvSpPr txBox="1"/>
      </xdr:nvSpPr>
      <xdr:spPr>
        <a:xfrm>
          <a:off x="2651125" y="0"/>
          <a:ext cx="20910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twoCellAnchor>
    <xdr:from>
      <xdr:col>4</xdr:col>
      <xdr:colOff>430530</xdr:colOff>
      <xdr:row>136</xdr:row>
      <xdr:rowOff>119380</xdr:rowOff>
    </xdr:from>
    <xdr:to>
      <xdr:col>7</xdr:col>
      <xdr:colOff>370840</xdr:colOff>
      <xdr:row>138</xdr:row>
      <xdr:rowOff>121920</xdr:rowOff>
    </xdr:to>
    <xdr:sp>
      <xdr:nvSpPr>
        <xdr:cNvPr id="8" name="文本框 7"/>
        <xdr:cNvSpPr txBox="1"/>
      </xdr:nvSpPr>
      <xdr:spPr>
        <a:xfrm rot="20760000">
          <a:off x="2872740" y="0"/>
          <a:ext cx="191706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V1.0</a:t>
          </a:r>
          <a:endParaRPr lang="en-US" altLang="zh-CN" sz="1600">
            <a:ln>
              <a:noFill/>
            </a:ln>
            <a:solidFill>
              <a:schemeClr val="dk1">
                <a:alpha val="13000"/>
              </a:schemeClr>
            </a:solidFill>
          </a:endParaRPr>
        </a:p>
      </xdr:txBody>
    </xdr:sp>
    <xdr:clientData/>
  </xdr:twoCellAnchor>
  <xdr:twoCellAnchor>
    <xdr:from>
      <xdr:col>4</xdr:col>
      <xdr:colOff>19685</xdr:colOff>
      <xdr:row>33</xdr:row>
      <xdr:rowOff>155575</xdr:rowOff>
    </xdr:from>
    <xdr:to>
      <xdr:col>6</xdr:col>
      <xdr:colOff>561340</xdr:colOff>
      <xdr:row>36</xdr:row>
      <xdr:rowOff>126365</xdr:rowOff>
    </xdr:to>
    <xdr:sp>
      <xdr:nvSpPr>
        <xdr:cNvPr id="9" name="文本框 8"/>
        <xdr:cNvSpPr txBox="1"/>
      </xdr:nvSpPr>
      <xdr:spPr>
        <a:xfrm rot="19920000">
          <a:off x="2461895" y="0"/>
          <a:ext cx="18624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twoCellAnchor>
    <xdr:from>
      <xdr:col>3</xdr:col>
      <xdr:colOff>548640</xdr:colOff>
      <xdr:row>52</xdr:row>
      <xdr:rowOff>161290</xdr:rowOff>
    </xdr:from>
    <xdr:to>
      <xdr:col>6</xdr:col>
      <xdr:colOff>429895</xdr:colOff>
      <xdr:row>55</xdr:row>
      <xdr:rowOff>132080</xdr:rowOff>
    </xdr:to>
    <xdr:sp>
      <xdr:nvSpPr>
        <xdr:cNvPr id="10" name="文本框 9"/>
        <xdr:cNvSpPr txBox="1"/>
      </xdr:nvSpPr>
      <xdr:spPr>
        <a:xfrm rot="19920000">
          <a:off x="2330450" y="0"/>
          <a:ext cx="18624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twoCellAnchor>
    <xdr:from>
      <xdr:col>3</xdr:col>
      <xdr:colOff>565150</xdr:colOff>
      <xdr:row>71</xdr:row>
      <xdr:rowOff>160020</xdr:rowOff>
    </xdr:from>
    <xdr:to>
      <xdr:col>6</xdr:col>
      <xdr:colOff>446405</xdr:colOff>
      <xdr:row>74</xdr:row>
      <xdr:rowOff>130810</xdr:rowOff>
    </xdr:to>
    <xdr:sp>
      <xdr:nvSpPr>
        <xdr:cNvPr id="11" name="文本框 10"/>
        <xdr:cNvSpPr txBox="1"/>
      </xdr:nvSpPr>
      <xdr:spPr>
        <a:xfrm rot="19920000">
          <a:off x="2346960" y="0"/>
          <a:ext cx="18624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twoCellAnchor>
    <xdr:from>
      <xdr:col>3</xdr:col>
      <xdr:colOff>567690</xdr:colOff>
      <xdr:row>83</xdr:row>
      <xdr:rowOff>101600</xdr:rowOff>
    </xdr:from>
    <xdr:to>
      <xdr:col>6</xdr:col>
      <xdr:colOff>448945</xdr:colOff>
      <xdr:row>86</xdr:row>
      <xdr:rowOff>72390</xdr:rowOff>
    </xdr:to>
    <xdr:sp>
      <xdr:nvSpPr>
        <xdr:cNvPr id="12" name="文本框 11"/>
        <xdr:cNvSpPr txBox="1"/>
      </xdr:nvSpPr>
      <xdr:spPr>
        <a:xfrm rot="19920000">
          <a:off x="2349500" y="0"/>
          <a:ext cx="18624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1600">
              <a:ln>
                <a:noFill/>
              </a:ln>
              <a:solidFill>
                <a:schemeClr val="dk1">
                  <a:alpha val="13000"/>
                </a:schemeClr>
              </a:solidFill>
            </a:rPr>
            <a:t>专业工程认证</a:t>
          </a:r>
          <a:r>
            <a:rPr lang="en-US" altLang="zh-CN" sz="1600">
              <a:ln>
                <a:noFill/>
              </a:ln>
              <a:solidFill>
                <a:schemeClr val="dk1">
                  <a:alpha val="13000"/>
                </a:schemeClr>
              </a:solidFill>
            </a:rPr>
            <a:t>V1.1</a:t>
          </a:r>
          <a:endParaRPr lang="en-US" altLang="zh-CN" sz="1600">
            <a:ln>
              <a:noFill/>
            </a:ln>
            <a:solidFill>
              <a:schemeClr val="dk1">
                <a:alpha val="13000"/>
              </a:schemeClr>
            </a:solidFill>
          </a:endParaRPr>
        </a:p>
      </xdr:txBody>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141605</xdr:colOff>
      <xdr:row>1</xdr:row>
      <xdr:rowOff>14605</xdr:rowOff>
    </xdr:from>
    <xdr:to>
      <xdr:col>4</xdr:col>
      <xdr:colOff>228600</xdr:colOff>
      <xdr:row>11</xdr:row>
      <xdr:rowOff>26035</xdr:rowOff>
    </xdr:to>
    <xdr:graphicFrame>
      <xdr:nvGraphicFramePr>
        <xdr:cNvPr id="2" name="图表 1"/>
        <xdr:cNvGraphicFramePr/>
      </xdr:nvGraphicFramePr>
      <xdr:xfrm>
        <a:off x="141605" y="548005"/>
        <a:ext cx="2728595" cy="178943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582930</xdr:colOff>
      <xdr:row>1</xdr:row>
      <xdr:rowOff>12700</xdr:rowOff>
    </xdr:from>
    <xdr:to>
      <xdr:col>8</xdr:col>
      <xdr:colOff>645795</xdr:colOff>
      <xdr:row>11</xdr:row>
      <xdr:rowOff>31750</xdr:rowOff>
    </xdr:to>
    <xdr:graphicFrame>
      <xdr:nvGraphicFramePr>
        <xdr:cNvPr id="3" name="图表 2"/>
        <xdr:cNvGraphicFramePr/>
      </xdr:nvGraphicFramePr>
      <xdr:xfrm>
        <a:off x="3224530" y="546100"/>
        <a:ext cx="2704465" cy="179705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158750</xdr:colOff>
      <xdr:row>11</xdr:row>
      <xdr:rowOff>62230</xdr:rowOff>
    </xdr:from>
    <xdr:to>
      <xdr:col>4</xdr:col>
      <xdr:colOff>224155</xdr:colOff>
      <xdr:row>21</xdr:row>
      <xdr:rowOff>83820</xdr:rowOff>
    </xdr:to>
    <xdr:graphicFrame>
      <xdr:nvGraphicFramePr>
        <xdr:cNvPr id="4" name="图表 3"/>
        <xdr:cNvGraphicFramePr/>
      </xdr:nvGraphicFramePr>
      <xdr:xfrm>
        <a:off x="158750" y="2373630"/>
        <a:ext cx="2707005" cy="179959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584835</xdr:colOff>
      <xdr:row>11</xdr:row>
      <xdr:rowOff>67945</xdr:rowOff>
    </xdr:from>
    <xdr:to>
      <xdr:col>8</xdr:col>
      <xdr:colOff>637540</xdr:colOff>
      <xdr:row>21</xdr:row>
      <xdr:rowOff>90170</xdr:rowOff>
    </xdr:to>
    <xdr:graphicFrame>
      <xdr:nvGraphicFramePr>
        <xdr:cNvPr id="5" name="图表 4"/>
        <xdr:cNvGraphicFramePr/>
      </xdr:nvGraphicFramePr>
      <xdr:xfrm>
        <a:off x="3226435" y="2379345"/>
        <a:ext cx="2694305" cy="1800225"/>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158115</xdr:colOff>
      <xdr:row>21</xdr:row>
      <xdr:rowOff>142240</xdr:rowOff>
    </xdr:from>
    <xdr:to>
      <xdr:col>4</xdr:col>
      <xdr:colOff>217805</xdr:colOff>
      <xdr:row>31</xdr:row>
      <xdr:rowOff>162560</xdr:rowOff>
    </xdr:to>
    <xdr:graphicFrame>
      <xdr:nvGraphicFramePr>
        <xdr:cNvPr id="6" name="图表 5"/>
        <xdr:cNvGraphicFramePr/>
      </xdr:nvGraphicFramePr>
      <xdr:xfrm>
        <a:off x="158115" y="4231640"/>
        <a:ext cx="2701290" cy="179832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577215</xdr:colOff>
      <xdr:row>21</xdr:row>
      <xdr:rowOff>146685</xdr:rowOff>
    </xdr:from>
    <xdr:to>
      <xdr:col>8</xdr:col>
      <xdr:colOff>624840</xdr:colOff>
      <xdr:row>31</xdr:row>
      <xdr:rowOff>167005</xdr:rowOff>
    </xdr:to>
    <xdr:graphicFrame>
      <xdr:nvGraphicFramePr>
        <xdr:cNvPr id="8" name="图表 7"/>
        <xdr:cNvGraphicFramePr/>
      </xdr:nvGraphicFramePr>
      <xdr:xfrm>
        <a:off x="3218815" y="4236085"/>
        <a:ext cx="2689225" cy="179832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151765</xdr:colOff>
      <xdr:row>32</xdr:row>
      <xdr:rowOff>53975</xdr:rowOff>
    </xdr:from>
    <xdr:to>
      <xdr:col>4</xdr:col>
      <xdr:colOff>217805</xdr:colOff>
      <xdr:row>42</xdr:row>
      <xdr:rowOff>74295</xdr:rowOff>
    </xdr:to>
    <xdr:graphicFrame>
      <xdr:nvGraphicFramePr>
        <xdr:cNvPr id="9" name="图表 8"/>
        <xdr:cNvGraphicFramePr/>
      </xdr:nvGraphicFramePr>
      <xdr:xfrm>
        <a:off x="151765" y="6099175"/>
        <a:ext cx="2707640" cy="179832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582295</xdr:colOff>
      <xdr:row>32</xdr:row>
      <xdr:rowOff>53975</xdr:rowOff>
    </xdr:from>
    <xdr:to>
      <xdr:col>8</xdr:col>
      <xdr:colOff>622300</xdr:colOff>
      <xdr:row>42</xdr:row>
      <xdr:rowOff>74295</xdr:rowOff>
    </xdr:to>
    <xdr:graphicFrame>
      <xdr:nvGraphicFramePr>
        <xdr:cNvPr id="10" name="图表 9"/>
        <xdr:cNvGraphicFramePr/>
      </xdr:nvGraphicFramePr>
      <xdr:xfrm>
        <a:off x="3223895" y="6099175"/>
        <a:ext cx="2681605" cy="179832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4</xdr:col>
          <xdr:colOff>25400</xdr:colOff>
          <xdr:row>0</xdr:row>
          <xdr:rowOff>19050</xdr:rowOff>
        </xdr:from>
        <xdr:to>
          <xdr:col>5</xdr:col>
          <xdr:colOff>342900</xdr:colOff>
          <xdr:row>1</xdr:row>
          <xdr:rowOff>50800</xdr:rowOff>
        </xdr:to>
        <xdr:sp>
          <xdr:nvSpPr>
            <xdr:cNvPr id="2049" name="CommandButton1" hidden="1">
              <a:extLst>
                <a:ext uri="{63B3BB69-23CF-44E3-9099-C40C66FF867C}">
                  <a14:compatExt spid="_x0000_s2049"/>
                </a:ext>
              </a:extLst>
            </xdr:cNvPr>
            <xdr:cNvSpPr/>
          </xdr:nvSpPr>
          <xdr:spPr>
            <a:xfrm>
              <a:off x="3663950" y="19050"/>
              <a:ext cx="977900" cy="2095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037;&#31243;&#35748;&#35777;&#24037;&#20316;\&#35838;&#31243;&#30697;&#38453;&#24102;&#234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037;&#31243;&#35748;&#35777;&#24037;&#20316;\&#33258;&#35780;&#25253;&#21578;0628\&#35797;&#21367;&#24402;&#26723;\&#31354;&#38388;&#19987;&#19994;&#35797;&#21367;&#24402;&#26723;&#35201;&#27714;\&#38468;&#20214;2&#65306;&#35838;&#31243;&#36798;&#25104;&#24230;&#35745;&#31639;&#27169;&#26495;(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4037;&#31243;&#35748;&#35777;&#24037;&#20316;\&#25105;&#30340;&#35838;&#31243;\&#25805;&#20316;&#31995;&#32479;\&#25805;&#20316;&#31995;&#32479;&#35838;&#31243;&#36798;&#25104;&#24230;&#35745;&#31639;&#27169;&#26495;&#31616;&#21270;&#2925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总表"/>
      <sheetName val="基于总表的统计结果(自动生成）"/>
      <sheetName val="课程矩阵合理性检测（自动生成）"/>
      <sheetName val="每门课程对应的指标点（自动生成）"/>
      <sheetName val="试卷小分统计"/>
      <sheetName val="作业、报告、毕业论文小分统计"/>
      <sheetName val="Sheet1"/>
      <sheetName val="Sheet2"/>
    </sheetNames>
    <sheetDataSet>
      <sheetData sheetId="0"/>
      <sheetData sheetId="1"/>
      <sheetData sheetId="2">
        <row r="3">
          <cell r="A3" t="str">
            <v>中国近代史纲要</v>
          </cell>
        </row>
        <row r="4">
          <cell r="A4" t="str">
            <v>毛泽东思想和中国特色社会主义理论体系概论</v>
          </cell>
        </row>
        <row r="5">
          <cell r="A5" t="str">
            <v>军事理论与训练</v>
          </cell>
        </row>
        <row r="6">
          <cell r="A6" t="str">
            <v>马克思主义基本原理概论</v>
          </cell>
        </row>
        <row r="7">
          <cell r="A7" t="str">
            <v>计算机应用基础</v>
          </cell>
        </row>
        <row r="8">
          <cell r="A8" t="str">
            <v>思想道德修养与法律基础</v>
          </cell>
        </row>
        <row r="9">
          <cell r="A9" t="str">
            <v>形势与政策（1-6）</v>
          </cell>
        </row>
        <row r="10">
          <cell r="A10" t="str">
            <v>职业发展与就业指导</v>
          </cell>
        </row>
        <row r="11">
          <cell r="A11" t="str">
            <v>心理健康教育</v>
          </cell>
        </row>
        <row r="12">
          <cell r="A12" t="str">
            <v>社会实践</v>
          </cell>
        </row>
        <row r="13">
          <cell r="A13" t="str">
            <v>读书活动</v>
          </cell>
        </row>
        <row r="14">
          <cell r="A14" t="str">
            <v>创新创业教育</v>
          </cell>
        </row>
        <row r="15">
          <cell r="A15" t="str">
            <v>大学体育与健康（1-4）</v>
          </cell>
        </row>
        <row r="16">
          <cell r="A16" t="str">
            <v>英语（1-4）</v>
          </cell>
        </row>
        <row r="17">
          <cell r="A17" t="str">
            <v>数学分析 1、2</v>
          </cell>
        </row>
        <row r="18">
          <cell r="A18" t="str">
            <v>高等代数</v>
          </cell>
        </row>
        <row r="19">
          <cell r="A19" t="str">
            <v>概率论与数理统计A</v>
          </cell>
        </row>
        <row r="20">
          <cell r="A20" t="str">
            <v>数理方程与复变函数</v>
          </cell>
        </row>
        <row r="21">
          <cell r="A21" t="str">
            <v>离散数学 A</v>
          </cell>
        </row>
        <row r="22">
          <cell r="A22" t="str">
            <v>大学物理 B</v>
          </cell>
        </row>
        <row r="23">
          <cell r="A23" t="str">
            <v>大学物理实验</v>
          </cell>
        </row>
        <row r="24">
          <cell r="A24" t="str">
            <v>数字逻辑与电路</v>
          </cell>
        </row>
        <row r="25">
          <cell r="A25" t="str">
            <v>程序设计基础</v>
          </cell>
        </row>
        <row r="26">
          <cell r="A26" t="str">
            <v>面向对象程序设计</v>
          </cell>
        </row>
        <row r="27">
          <cell r="A27" t="str">
            <v>JAVA程序设计基础</v>
          </cell>
        </row>
        <row r="28">
          <cell r="A28" t="str">
            <v>数据结构与算法</v>
          </cell>
        </row>
        <row r="29">
          <cell r="A29" t="str">
            <v>计算机网络</v>
          </cell>
        </row>
        <row r="30">
          <cell r="A30" t="str">
            <v>数据库原理</v>
          </cell>
        </row>
        <row r="31">
          <cell r="A31" t="str">
            <v>操作系统</v>
          </cell>
        </row>
        <row r="32">
          <cell r="A32" t="str">
            <v>网络与分布式计算</v>
          </cell>
        </row>
        <row r="33">
          <cell r="A33" t="str">
            <v>海洋技术导论</v>
          </cell>
        </row>
        <row r="34">
          <cell r="A34" t="str">
            <v>海洋环境监测与评价</v>
          </cell>
        </row>
        <row r="35">
          <cell r="A35" t="str">
            <v>空间信息导论</v>
          </cell>
        </row>
        <row r="36">
          <cell r="A36" t="str">
            <v>地理信息系统</v>
          </cell>
        </row>
        <row r="37">
          <cell r="A37" t="str">
            <v>GPS 和遥感原理与应用</v>
          </cell>
        </row>
        <row r="38">
          <cell r="A38" t="str">
            <v>数字工程原理与方法</v>
          </cell>
        </row>
        <row r="39">
          <cell r="A39" t="str">
            <v>专业英语</v>
          </cell>
        </row>
        <row r="40">
          <cell r="A40" t="str">
            <v>程序设计实践</v>
          </cell>
        </row>
        <row r="41">
          <cell r="A41" t="str">
            <v>JAVA 课程设计</v>
          </cell>
        </row>
        <row r="42">
          <cell r="A42" t="str">
            <v>数据库实践</v>
          </cell>
        </row>
        <row r="43">
          <cell r="A43" t="str">
            <v>GIS系统开发实践</v>
          </cell>
        </row>
        <row r="44">
          <cell r="A44" t="str">
            <v>专业技能实践</v>
          </cell>
        </row>
        <row r="45">
          <cell r="A45" t="str">
            <v>毕业论文</v>
          </cell>
        </row>
        <row r="46">
          <cell r="A46" t="str">
            <v>可视化程序设计 A</v>
          </cell>
        </row>
        <row r="47">
          <cell r="A47" t="str">
            <v>信息安全概论</v>
          </cell>
        </row>
        <row r="48">
          <cell r="A48" t="str">
            <v>计算机图形学</v>
          </cell>
        </row>
        <row r="49">
          <cell r="A49" t="str">
            <v>物联网引论</v>
          </cell>
        </row>
        <row r="50">
          <cell r="A50" t="str">
            <v>现代通信原理</v>
          </cell>
        </row>
        <row r="51">
          <cell r="A51" t="str">
            <v>软件工程</v>
          </cell>
        </row>
        <row r="52">
          <cell r="A52" t="str">
            <v>数字图像处理</v>
          </cell>
        </row>
        <row r="53">
          <cell r="A53" t="str">
            <v>模式识别</v>
          </cell>
        </row>
        <row r="54">
          <cell r="A54" t="str">
            <v>数据仓库与数据挖掘</v>
          </cell>
        </row>
        <row r="55">
          <cell r="A55" t="str">
            <v>空间数据库原理与设计</v>
          </cell>
        </row>
        <row r="56">
          <cell r="A56" t="str">
            <v>空间决策与支持</v>
          </cell>
        </row>
        <row r="57">
          <cell r="A57" t="str">
            <v>空间建模与数据分析</v>
          </cell>
        </row>
      </sheetData>
      <sheetData sheetId="3"/>
      <sheetData sheetId="4"/>
      <sheetData sheetId="5"/>
      <sheetData sheetId="6"/>
      <sheetData sheetId="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使用说明"/>
      <sheetName val="考核与评价方式表"/>
      <sheetName val="期末试卷试题分布表"/>
      <sheetName val="期末试卷每小题对应课程目标的分布表"/>
      <sheetName val="temp1"/>
      <sheetName val="期末试卷原始成绩表"/>
      <sheetName val="平时成绩表及试卷大题成绩汇总"/>
      <sheetName val="课程目标达成度分析"/>
      <sheetName val="毕业达成度评价表"/>
      <sheetName val="平时成绩考核与评价方式表"/>
      <sheetName val="期末试卷分析表"/>
      <sheetName val="平均分统计表"/>
    </sheetNames>
    <sheetDataSet>
      <sheetData sheetId="0" refreshError="1"/>
      <sheetData sheetId="1" refreshError="1"/>
      <sheetData sheetId="2" refreshError="1">
        <row r="11">
          <cell r="B11">
            <v>3</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使用说明"/>
      <sheetName val="1、考核与评价方式表"/>
      <sheetName val="2、期末试卷试题分布表"/>
      <sheetName val="3、期末试卷每小题对应课程目标的分布表"/>
      <sheetName val="temp1"/>
      <sheetName val="4、期末试卷原始成绩表"/>
      <sheetName val="5、平时成绩表及试卷大题成绩汇总"/>
      <sheetName val="6、自动生成课程目标达成度分析"/>
      <sheetName val="7、自动毕业达成度评价表"/>
      <sheetName val="数据源"/>
      <sheetName val="数据源1"/>
      <sheetName val="期末成绩分析表"/>
      <sheetName val="平时成绩考核与评价方式表"/>
      <sheetName val="期末试卷分析表"/>
      <sheetName val="平均分统计表"/>
    </sheetNames>
    <sheetDataSet>
      <sheetData sheetId="0"/>
      <sheetData sheetId="1"/>
      <sheetData sheetId="2">
        <row r="1">
          <cell r="B1">
            <v>10</v>
          </cell>
        </row>
        <row r="2">
          <cell r="B2">
            <v>5</v>
          </cell>
        </row>
        <row r="3">
          <cell r="B3">
            <v>5</v>
          </cell>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alpha val="0"/>
          </a:schemeClr>
        </a:solidFill>
        <a:ln w="9525" cmpd="sng">
          <a:noFill/>
        </a:ln>
      </a:spPr>
      <a:bodyPr vertOverflow="clip" horzOverflow="clip" wrap="square" rtlCol="0" anchor="t">
        <a:spAutoFit/>
      </a:bodyPr>
      <a:lstStyle>
        <a:defPPr algn="ctr">
          <a:defRPr lang="zh-CN" altLang="en-US" sz="7200" b="1">
            <a:solidFill>
              <a:schemeClr val="bg2"/>
            </a:solidFill>
            <a:effectLst>
              <a:innerShdw blurRad="63500" dist="50800" dir="13500000">
                <a:srgbClr val="000000">
                  <a:alpha val="50000"/>
                </a:srgbClr>
              </a:innerShdw>
            </a:effectLst>
          </a:defRPr>
        </a:defPPr>
      </a:lstStyle>
      <a:style>
        <a:lnRef idx="0">
          <a:scrgbClr r="0" g="0" b="0"/>
        </a:lnRef>
        <a:fillRef idx="0">
          <a:scrgbClr r="0" g="0" b="0"/>
        </a:fillRef>
        <a:effectRef idx="0">
          <a:scrgbClr r="0" g="0" b="0"/>
        </a:effectRef>
        <a:fontRef idx="minor">
          <a:schemeClr val="dk1"/>
        </a:fontRef>
      </a:style>
    </a:spDef>
  </a:objectDefaults>
</a:theme>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5.xml.rels><?xml version="1.0" encoding="UTF-8" standalone="yes"?>
<Relationships xmlns="http://schemas.openxmlformats.org/package/2006/relationships"><Relationship Id="rId6" Type="http://schemas.openxmlformats.org/officeDocument/2006/relationships/hyperlink" Target="http://www.sina.com.cn" TargetMode="External"/><Relationship Id="rId5" Type="http://schemas.openxmlformats.org/officeDocument/2006/relationships/hyperlink" Target="https://xxxy.shou.edu.cn/_upload/article/files/17/02/14bf9aa1458a9637f8e9baefa566/4b5a5553-2f31-4a84-ae69-9b3ae6ee6e7b.docx" TargetMode="External"/><Relationship Id="rId4" Type="http://schemas.openxmlformats.org/officeDocument/2006/relationships/image" Target="../media/image3.wmf"/><Relationship Id="rId3" Type="http://schemas.openxmlformats.org/officeDocument/2006/relationships/control" Target="../activeX/activeX1.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4" Type="http://schemas.openxmlformats.org/officeDocument/2006/relationships/hyperlink" Target="https://xxxy.shou.edu.cn/2022/0530/c15358a307483/page.htm" TargetMode="External"/><Relationship Id="rId3" Type="http://schemas.openxmlformats.org/officeDocument/2006/relationships/hyperlink" Target="https://xxxy.shou.edu.cn/2022/0602/c17422a307578/page.htm"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3" Type="http://schemas.openxmlformats.org/officeDocument/2006/relationships/hyperlink" Target="https://xxxy.shou.edu.cn/2022/0827/c17422a309283/page.htm" TargetMode="External"/><Relationship Id="rId2" Type="http://schemas.openxmlformats.org/officeDocument/2006/relationships/hyperlink" Target="https://xxxy.shou.edu.cn/2022/0602/c17422a307578/page.htm" TargetMode="Externa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25"/>
  <sheetViews>
    <sheetView workbookViewId="0">
      <selection activeCell="A8" sqref="A8"/>
    </sheetView>
  </sheetViews>
  <sheetFormatPr defaultColWidth="9" defaultRowHeight="14" outlineLevelCol="5"/>
  <cols>
    <col min="1" max="1" width="31.3333333333333" customWidth="1"/>
    <col min="2" max="2" width="34.775" customWidth="1"/>
  </cols>
  <sheetData>
    <row r="1" spans="1:1">
      <c r="A1" t="s">
        <v>0</v>
      </c>
    </row>
    <row r="2" spans="1:1">
      <c r="A2" t="s">
        <v>1</v>
      </c>
    </row>
    <row r="3" spans="1:1">
      <c r="A3" s="533" t="s">
        <v>2</v>
      </c>
    </row>
    <row r="4" spans="1:1">
      <c r="A4" s="534" t="s">
        <v>3</v>
      </c>
    </row>
    <row r="5" spans="1:1">
      <c r="A5" s="534"/>
    </row>
    <row r="6" s="532" customFormat="1" spans="1:3">
      <c r="A6" s="535" t="s">
        <v>4</v>
      </c>
      <c r="B6" s="535" t="s">
        <v>5</v>
      </c>
      <c r="C6" s="532" t="s">
        <v>6</v>
      </c>
    </row>
    <row r="7" spans="1:3">
      <c r="A7" t="s">
        <v>7</v>
      </c>
      <c r="B7" s="536" t="s">
        <v>8</v>
      </c>
      <c r="C7" t="s">
        <v>9</v>
      </c>
    </row>
    <row r="9" spans="1:3">
      <c r="A9" t="s">
        <v>10</v>
      </c>
      <c r="B9" s="537" t="s">
        <v>11</v>
      </c>
      <c r="C9" t="s">
        <v>12</v>
      </c>
    </row>
    <row r="10" spans="2:3">
      <c r="B10" s="537" t="s">
        <v>13</v>
      </c>
      <c r="C10" t="s">
        <v>14</v>
      </c>
    </row>
    <row r="12" spans="1:1">
      <c r="A12" t="s">
        <v>15</v>
      </c>
    </row>
    <row r="13" spans="1:2">
      <c r="A13">
        <v>1</v>
      </c>
      <c r="B13" t="s">
        <v>16</v>
      </c>
    </row>
    <row r="14" spans="1:3">
      <c r="A14">
        <v>2</v>
      </c>
      <c r="B14" s="538" t="s">
        <v>17</v>
      </c>
      <c r="C14" t="s">
        <v>18</v>
      </c>
    </row>
    <row r="15" spans="2:3">
      <c r="B15" s="539"/>
      <c r="C15" t="s">
        <v>19</v>
      </c>
    </row>
    <row r="16" spans="1:6">
      <c r="A16">
        <v>3</v>
      </c>
      <c r="B16" s="538" t="s">
        <v>20</v>
      </c>
      <c r="C16" s="540" t="s">
        <v>21</v>
      </c>
      <c r="F16" t="s">
        <v>22</v>
      </c>
    </row>
    <row r="18" spans="1:3">
      <c r="A18" t="s">
        <v>23</v>
      </c>
      <c r="B18" t="s">
        <v>24</v>
      </c>
      <c r="C18" t="s">
        <v>25</v>
      </c>
    </row>
    <row r="19" spans="2:2">
      <c r="B19" t="s">
        <v>26</v>
      </c>
    </row>
    <row r="21" spans="1:3">
      <c r="A21" t="s">
        <v>27</v>
      </c>
      <c r="B21" t="s">
        <v>28</v>
      </c>
      <c r="C21" t="s">
        <v>29</v>
      </c>
    </row>
    <row r="25" spans="2:2">
      <c r="B25" s="538" t="s">
        <v>30</v>
      </c>
    </row>
  </sheetData>
  <sheetProtection password="DE0E" sheet="1" selectLockedCells="1" objects="1"/>
  <pageMargins left="0.699305555555556" right="0.69930555555555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J1:AI90"/>
  <sheetViews>
    <sheetView zoomScale="70" zoomScaleNormal="70" workbookViewId="0">
      <selection activeCell="O20" sqref="O20"/>
    </sheetView>
  </sheetViews>
  <sheetFormatPr defaultColWidth="8.66666666666667" defaultRowHeight="14"/>
  <cols>
    <col min="9" max="9" width="13.1916666666667" customWidth="1"/>
    <col min="12" max="16" width="12.6666666666667"/>
    <col min="20" max="20" width="10.4666666666667" customWidth="1"/>
  </cols>
  <sheetData>
    <row r="1" ht="42" customHeight="1" spans="10:35">
      <c r="J1" s="241" t="s">
        <v>306</v>
      </c>
      <c r="K1" s="241" t="s">
        <v>307</v>
      </c>
      <c r="L1" s="242" t="s">
        <v>421</v>
      </c>
      <c r="M1" s="242" t="s">
        <v>422</v>
      </c>
      <c r="N1" s="242" t="s">
        <v>49</v>
      </c>
      <c r="O1" s="242" t="s">
        <v>423</v>
      </c>
      <c r="P1" s="242" t="s">
        <v>424</v>
      </c>
      <c r="Q1" s="242" t="s">
        <v>425</v>
      </c>
      <c r="R1" s="242" t="s">
        <v>426</v>
      </c>
      <c r="S1" s="242" t="s">
        <v>427</v>
      </c>
      <c r="T1" s="245" t="s">
        <v>428</v>
      </c>
      <c r="U1" s="245" t="s">
        <v>429</v>
      </c>
      <c r="V1" s="245" t="s">
        <v>430</v>
      </c>
      <c r="W1" s="245" t="s">
        <v>431</v>
      </c>
      <c r="X1" s="245" t="s">
        <v>432</v>
      </c>
      <c r="Y1" s="245" t="s">
        <v>433</v>
      </c>
      <c r="Z1" s="245" t="s">
        <v>434</v>
      </c>
      <c r="AA1" s="245" t="s">
        <v>435</v>
      </c>
      <c r="AB1" t="s">
        <v>436</v>
      </c>
      <c r="AC1" t="s">
        <v>437</v>
      </c>
      <c r="AD1" t="s">
        <v>438</v>
      </c>
      <c r="AE1" t="s">
        <v>439</v>
      </c>
      <c r="AF1" t="s">
        <v>440</v>
      </c>
      <c r="AG1" t="s">
        <v>441</v>
      </c>
      <c r="AH1" t="s">
        <v>442</v>
      </c>
      <c r="AI1" t="s">
        <v>443</v>
      </c>
    </row>
    <row r="2" spans="10:29">
      <c r="J2" s="243" t="str">
        <f>IF(ISBLANK('3、期末成绩'!A2)," ",'3、期末成绩'!A2)</f>
        <v>1653101</v>
      </c>
      <c r="K2" s="244" t="str">
        <f>IF(J2=" "," ",VLOOKUP(J2,'3、期末成绩'!$A$2:$B$201,2,FALSE))</f>
        <v>颜臻珑</v>
      </c>
      <c r="L2">
        <f ca="1">0.01*(T2*SUM('1、课程目标与考核方式'!$C$13:$G$13)+AB2*'1、课程目标与考核方式'!$H$13)</f>
        <v>0.7036</v>
      </c>
      <c r="M2">
        <f ca="1">0.01*(U2*SUM('1、课程目标与考核方式'!$C$13:$G$13)+AC2*'1、课程目标与考核方式'!$H$13)</f>
        <v>0.7036</v>
      </c>
      <c r="N2">
        <f ca="1">0.01*(V2*SUM('1、课程目标与考核方式'!$C$13:$G$13)+AD2*'1、课程目标与考核方式'!$H$13)</f>
        <v>0.2286</v>
      </c>
      <c r="O2">
        <f ca="1">0.01*(W2*SUM('1、课程目标与考核方式'!$C$13:$G$13)+AE2*'1、课程目标与考核方式'!$H$13)</f>
        <v>0</v>
      </c>
      <c r="P2">
        <f ca="1">0.01*(X2*SUM('1、课程目标与考核方式'!$C$13:$G$13)+AF2*'1、课程目标与考核方式'!$H$13)</f>
        <v>0</v>
      </c>
      <c r="Q2">
        <f ca="1">0.01*(Y2*SUM('1、课程目标与考核方式'!$C$13:$G$13)+AG2*'1、课程目标与考核方式'!$H$13)</f>
        <v>0</v>
      </c>
      <c r="R2">
        <f ca="1">0.01*(Z2*SUM('1、课程目标与考核方式'!$C$13:$G$13)+AH2*'1、课程目标与考核方式'!$H$13)</f>
        <v>0</v>
      </c>
      <c r="S2">
        <f ca="1">0.01*(AA2*SUM('1、课程目标与考核方式'!$C$13:$G$13)+AI2*'1、课程目标与考核方式'!$H$13)</f>
        <v>0</v>
      </c>
      <c r="T2">
        <f ca="1">('1、课程目标与考核方式'!$C$3*'4、平时成绩'!$C2*0.01+'1、课程目标与考核方式'!$D$3*'4、平时成绩'!$D2*0.01+'1、课程目标与考核方式'!$E$3*'4、平时成绩'!$E2*0.01+'1、课程目标与考核方式'!$F$3*'4、平时成绩'!$F2*0.01+'1、课程目标与考核方式'!$G$3*'4、平时成绩'!$G2*0.01)/SUM('1、课程目标与考核方式'!$C$3:$G$3)</f>
        <v>0.846666666666667</v>
      </c>
      <c r="U2">
        <f ca="1">('1、课程目标与考核方式'!$C$4*'4、平时成绩'!$C2*0.01+'1、课程目标与考核方式'!$D$4*'4、平时成绩'!$D2*0.01+'1、课程目标与考核方式'!$E$4*'4、平时成绩'!$E2*0.01+'1、课程目标与考核方式'!$F$4*'4、平时成绩'!$F2*0.01+'1、课程目标与考核方式'!$G$4*'4、平时成绩'!$G2*0.01)/SUM('1、课程目标与考核方式'!$C$3:$G$3)</f>
        <v>0.846666666666667</v>
      </c>
      <c r="V2">
        <f ca="1">('1、课程目标与考核方式'!$C$5*'4、平时成绩'!$C2*0.01+'1、课程目标与考核方式'!$D$5*'4、平时成绩'!$D2*0.01+'1、课程目标与考核方式'!$E$5*'4、平时成绩'!$E2*0.01+'1、课程目标与考核方式'!$F$5*'4、平时成绩'!$F2*0.01+'1、课程目标与考核方式'!$G$5*'4、平时成绩'!$G2*0.01)/SUM('1、课程目标与考核方式'!$C$3:$G$3)</f>
        <v>0.846666666666667</v>
      </c>
      <c r="W2">
        <f ca="1">('1、课程目标与考核方式'!$C$6*'4、平时成绩'!$C2*0.01+'1、课程目标与考核方式'!$D$6*'4、平时成绩'!$D2*0.01+'1、课程目标与考核方式'!$E$6*'4、平时成绩'!$E2*0.01+'1、课程目标与考核方式'!$F$6*'4、平时成绩'!$F2*0.01+'1、课程目标与考核方式'!$G$6*'4、平时成绩'!$G2*0.01)/SUM('1、课程目标与考核方式'!$C$3:$G$3)</f>
        <v>0</v>
      </c>
      <c r="X2">
        <f ca="1">('1、课程目标与考核方式'!$C$7*'4、平时成绩'!$C2*0.01+'1、课程目标与考核方式'!$D$7*'4、平时成绩'!$D2*0.01+'1、课程目标与考核方式'!$E$7*'4、平时成绩'!$E2*0.01+'1、课程目标与考核方式'!$F$7*'4、平时成绩'!$F2*0.01+'1、课程目标与考核方式'!$G$7*'4、平时成绩'!$G2*0.01)/SUM('1、课程目标与考核方式'!$C$3:$G$3)</f>
        <v>0</v>
      </c>
      <c r="Y2">
        <f ca="1">('1、课程目标与考核方式'!$C$8*'4、平时成绩'!$C2*0.01+'1、课程目标与考核方式'!$D$8*'4、平时成绩'!$D2*0.01+'1、课程目标与考核方式'!$E$8*'4、平时成绩'!$E2*0.01+'1、课程目标与考核方式'!$F$8*'4、平时成绩'!$F2*0.01+'1、课程目标与考核方式'!$G$8*'4、平时成绩'!$G2*0.01)/SUM('1、课程目标与考核方式'!$C$3:$G$3)</f>
        <v>0</v>
      </c>
      <c r="Z2">
        <f ca="1">('1、课程目标与考核方式'!$C$9*'4、平时成绩'!$C2*0.01+'1、课程目标与考核方式'!$D$9*'4、平时成绩'!$D2*0.01+'1、课程目标与考核方式'!$E$9*'4、平时成绩'!$E2*0.01+'1、课程目标与考核方式'!$F$9*'4、平时成绩'!$F2*0.01+'1、课程目标与考核方式'!$G$9*'4、平时成绩'!$G2*0.01)/SUM('1、课程目标与考核方式'!$C$3:$G$3)</f>
        <v>0</v>
      </c>
      <c r="AA2">
        <f ca="1">('1、课程目标与考核方式'!$C$10*'4、平时成绩'!$C2*0.01+'1、课程目标与考核方式'!$D$10*'4、平时成绩'!$D2*0.01+'1、课程目标与考核方式'!$E$10*'4、平时成绩'!$E2*0.01+'1、课程目标与考核方式'!$F$10*'4、平时成绩'!$F2*0.01+'1、课程目标与考核方式'!$G$10*'4、平时成绩'!$G2*0.01)/SUM('1、课程目标与考核方式'!$C$3:$G$3)</f>
        <v>0</v>
      </c>
      <c r="AB2">
        <f>'3、期末成绩'!C2/'2、试卷（期末题目-课程目标）'!$C$2</f>
        <v>0.95</v>
      </c>
      <c r="AC2">
        <f>'3、期末成绩'!D2/'2、试卷（期末题目-课程目标）'!$C$3</f>
        <v>0.95</v>
      </c>
    </row>
    <row r="3" spans="10:29">
      <c r="J3" s="243" t="str">
        <f>IF(ISBLANK('3、期末成绩'!A3)," ",'3、期末成绩'!A3)</f>
        <v>1653102</v>
      </c>
      <c r="K3" s="244" t="str">
        <f>IF(J3=" "," ",VLOOKUP(J3,'3、期末成绩'!$A$2:$B$201,2,FALSE))</f>
        <v>陈沁怡</v>
      </c>
      <c r="L3">
        <f ca="1">0.01*(T3*SUM('1、课程目标与考核方式'!$C$13:$G$13)+AB3*'1、课程目标与考核方式'!$H$13)</f>
        <v>0.6928</v>
      </c>
      <c r="M3">
        <f ca="1">0.01*(U3*SUM('1、课程目标与考核方式'!$C$13:$G$13)+AC3*'1、课程目标与考核方式'!$H$13)</f>
        <v>0.6928</v>
      </c>
      <c r="N3">
        <f ca="1">0.01*(V3*SUM('1、课程目标与考核方式'!$C$13:$G$13)+AD3*'1、课程目标与考核方式'!$H$13)</f>
        <v>0.2178</v>
      </c>
      <c r="O3">
        <f ca="1">0.01*(W3*SUM('1、课程目标与考核方式'!$C$13:$G$13)+AE3*'1、课程目标与考核方式'!$H$13)</f>
        <v>0</v>
      </c>
      <c r="P3">
        <f ca="1">0.01*(X3*SUM('1、课程目标与考核方式'!$C$13:$G$13)+AF3*'1、课程目标与考核方式'!$H$13)</f>
        <v>0</v>
      </c>
      <c r="Q3">
        <f ca="1">0.01*(Y3*SUM('1、课程目标与考核方式'!$C$13:$G$13)+AG3*'1、课程目标与考核方式'!$H$13)</f>
        <v>0</v>
      </c>
      <c r="R3">
        <f ca="1">0.01*(Z3*SUM('1、课程目标与考核方式'!$C$13:$G$13)+AH3*'1、课程目标与考核方式'!$H$13)</f>
        <v>0</v>
      </c>
      <c r="S3">
        <f ca="1">0.01*(AA3*SUM('1、课程目标与考核方式'!$C$13:$G$13)+AI3*'1、课程目标与考核方式'!$H$13)</f>
        <v>0</v>
      </c>
      <c r="T3">
        <f ca="1">('1、课程目标与考核方式'!$C$3*'4、平时成绩'!$C3*0.01+'1、课程目标与考核方式'!$D$3*'4、平时成绩'!$D3*0.01+'1、课程目标与考核方式'!$E$3*'4、平时成绩'!$E3*0.01+'1、课程目标与考核方式'!$F$3*'4、平时成绩'!$F3*0.01+'1、课程目标与考核方式'!$G$3*'4、平时成绩'!$G3*0.01)/SUM('1、课程目标与考核方式'!$C$3:$G$3)</f>
        <v>0.806666666666667</v>
      </c>
      <c r="U3">
        <f ca="1">('1、课程目标与考核方式'!$C$4*'4、平时成绩'!$C3*0.01+'1、课程目标与考核方式'!$D$4*'4、平时成绩'!$D3*0.01+'1、课程目标与考核方式'!$E$4*'4、平时成绩'!$E3*0.01+'1、课程目标与考核方式'!$F$4*'4、平时成绩'!$F3*0.01+'1、课程目标与考核方式'!$G$4*'4、平时成绩'!$G3*0.01)/SUM('1、课程目标与考核方式'!$C$3:$G$3)</f>
        <v>0.806666666666667</v>
      </c>
      <c r="V3">
        <f ca="1">('1、课程目标与考核方式'!$C$5*'4、平时成绩'!$C3*0.01+'1、课程目标与考核方式'!$D$5*'4、平时成绩'!$D3*0.01+'1、课程目标与考核方式'!$E$5*'4、平时成绩'!$E3*0.01+'1、课程目标与考核方式'!$F$5*'4、平时成绩'!$F3*0.01+'1、课程目标与考核方式'!$G$5*'4、平时成绩'!$G3*0.01)/SUM('1、课程目标与考核方式'!$C$3:$G$3)</f>
        <v>0.806666666666667</v>
      </c>
      <c r="W3">
        <f ca="1">('1、课程目标与考核方式'!$C$6*'4、平时成绩'!$C3*0.01+'1、课程目标与考核方式'!$D$6*'4、平时成绩'!$D3*0.01+'1、课程目标与考核方式'!$E$6*'4、平时成绩'!$E3*0.01+'1、课程目标与考核方式'!$F$6*'4、平时成绩'!$F3*0.01+'1、课程目标与考核方式'!$G$6*'4、平时成绩'!$G3*0.01)/SUM('1、课程目标与考核方式'!$C$3:$G$3)</f>
        <v>0</v>
      </c>
      <c r="X3">
        <f ca="1">('1、课程目标与考核方式'!$C$7*'4、平时成绩'!$C3*0.01+'1、课程目标与考核方式'!$D$7*'4、平时成绩'!$D3*0.01+'1、课程目标与考核方式'!$E$7*'4、平时成绩'!$E3*0.01+'1、课程目标与考核方式'!$F$7*'4、平时成绩'!$F3*0.01+'1、课程目标与考核方式'!$G$7*'4、平时成绩'!$G3*0.01)/SUM('1、课程目标与考核方式'!$C$3:$G$3)</f>
        <v>0</v>
      </c>
      <c r="Y3">
        <f ca="1">('1、课程目标与考核方式'!$C$8*'4、平时成绩'!$C3*0.01+'1、课程目标与考核方式'!$D$8*'4、平时成绩'!$D3*0.01+'1、课程目标与考核方式'!$E$8*'4、平时成绩'!$E3*0.01+'1、课程目标与考核方式'!$F$8*'4、平时成绩'!$F3*0.01+'1、课程目标与考核方式'!$G$8*'4、平时成绩'!$G3*0.01)/SUM('1、课程目标与考核方式'!$C$3:$G$3)</f>
        <v>0</v>
      </c>
      <c r="Z3">
        <f ca="1">('1、课程目标与考核方式'!$C$9*'4、平时成绩'!$C3*0.01+'1、课程目标与考核方式'!$D$9*'4、平时成绩'!$D3*0.01+'1、课程目标与考核方式'!$E$9*'4、平时成绩'!$E3*0.01+'1、课程目标与考核方式'!$F$9*'4、平时成绩'!$F3*0.01+'1、课程目标与考核方式'!$G$9*'4、平时成绩'!$G3*0.01)/SUM('1、课程目标与考核方式'!$C$3:$G$3)</f>
        <v>0</v>
      </c>
      <c r="AA3">
        <f ca="1">('1、课程目标与考核方式'!$C$10*'4、平时成绩'!$C3*0.01+'1、课程目标与考核方式'!$D$10*'4、平时成绩'!$D3*0.01+'1、课程目标与考核方式'!$E$10*'4、平时成绩'!$E3*0.01+'1、课程目标与考核方式'!$F$10*'4、平时成绩'!$F3*0.01+'1、课程目标与考核方式'!$G$10*'4、平时成绩'!$G3*0.01)/SUM('1、课程目标与考核方式'!$C$3:$G$3)</f>
        <v>0</v>
      </c>
      <c r="AB3">
        <f>'3、期末成绩'!C3/'2、试卷（期末题目-课程目标）'!$C$2</f>
        <v>0.95</v>
      </c>
      <c r="AC3">
        <f>'3、期末成绩'!D3/'2、试卷（期末题目-课程目标）'!$C$3</f>
        <v>0.95</v>
      </c>
    </row>
    <row r="4" spans="10:29">
      <c r="J4" s="243" t="str">
        <f>IF(ISBLANK('3、期末成绩'!A4)," ",'3、期末成绩'!A4)</f>
        <v>1653103</v>
      </c>
      <c r="K4" s="244" t="str">
        <f>IF(J4=" "," ",VLOOKUP(J4,'3、期末成绩'!$A$2:$B$201,2,FALSE))</f>
        <v>邓伊凡</v>
      </c>
      <c r="L4">
        <f ca="1">0.01*(T4*SUM('1、课程目标与考核方式'!$C$13:$G$13)+AB4*'1、课程目标与考核方式'!$H$13)</f>
        <v>0.694</v>
      </c>
      <c r="M4">
        <f ca="1">0.01*(U4*SUM('1、课程目标与考核方式'!$C$13:$G$13)+AC4*'1、课程目标与考核方式'!$H$13)</f>
        <v>0.694</v>
      </c>
      <c r="N4">
        <f ca="1">0.01*(V4*SUM('1、课程目标与考核方式'!$C$13:$G$13)+AD4*'1、课程目标与考核方式'!$H$13)</f>
        <v>0.219</v>
      </c>
      <c r="O4">
        <f ca="1">0.01*(W4*SUM('1、课程目标与考核方式'!$C$13:$G$13)+AE4*'1、课程目标与考核方式'!$H$13)</f>
        <v>0</v>
      </c>
      <c r="P4">
        <f ca="1">0.01*(X4*SUM('1、课程目标与考核方式'!$C$13:$G$13)+AF4*'1、课程目标与考核方式'!$H$13)</f>
        <v>0</v>
      </c>
      <c r="Q4">
        <f ca="1">0.01*(Y4*SUM('1、课程目标与考核方式'!$C$13:$G$13)+AG4*'1、课程目标与考核方式'!$H$13)</f>
        <v>0</v>
      </c>
      <c r="R4">
        <f ca="1">0.01*(Z4*SUM('1、课程目标与考核方式'!$C$13:$G$13)+AH4*'1、课程目标与考核方式'!$H$13)</f>
        <v>0</v>
      </c>
      <c r="S4">
        <f ca="1">0.01*(AA4*SUM('1、课程目标与考核方式'!$C$13:$G$13)+AI4*'1、课程目标与考核方式'!$H$13)</f>
        <v>0</v>
      </c>
      <c r="T4">
        <f ca="1">('1、课程目标与考核方式'!$C$3*'4、平时成绩'!$C4*0.01+'1、课程目标与考核方式'!$D$3*'4、平时成绩'!$D4*0.01+'1、课程目标与考核方式'!$E$3*'4、平时成绩'!$E4*0.01+'1、课程目标与考核方式'!$F$3*'4、平时成绩'!$F4*0.01+'1、课程目标与考核方式'!$G$3*'4、平时成绩'!$G4*0.01)/SUM('1、课程目标与考核方式'!$C$3:$G$3)</f>
        <v>0.811111111111111</v>
      </c>
      <c r="U4">
        <f ca="1">('1、课程目标与考核方式'!$C$4*'4、平时成绩'!$C4*0.01+'1、课程目标与考核方式'!$D$4*'4、平时成绩'!$D4*0.01+'1、课程目标与考核方式'!$E$4*'4、平时成绩'!$E4*0.01+'1、课程目标与考核方式'!$F$4*'4、平时成绩'!$F4*0.01+'1、课程目标与考核方式'!$G$4*'4、平时成绩'!$G4*0.01)/SUM('1、课程目标与考核方式'!$C$3:$G$3)</f>
        <v>0.811111111111111</v>
      </c>
      <c r="V4">
        <f ca="1">('1、课程目标与考核方式'!$C$5*'4、平时成绩'!$C4*0.01+'1、课程目标与考核方式'!$D$5*'4、平时成绩'!$D4*0.01+'1、课程目标与考核方式'!$E$5*'4、平时成绩'!$E4*0.01+'1、课程目标与考核方式'!$F$5*'4、平时成绩'!$F4*0.01+'1、课程目标与考核方式'!$G$5*'4、平时成绩'!$G4*0.01)/SUM('1、课程目标与考核方式'!$C$3:$G$3)</f>
        <v>0.811111111111111</v>
      </c>
      <c r="W4">
        <f ca="1">('1、课程目标与考核方式'!$C$6*'4、平时成绩'!$C4*0.01+'1、课程目标与考核方式'!$D$6*'4、平时成绩'!$D4*0.01+'1、课程目标与考核方式'!$E$6*'4、平时成绩'!$E4*0.01+'1、课程目标与考核方式'!$F$6*'4、平时成绩'!$F4*0.01+'1、课程目标与考核方式'!$G$6*'4、平时成绩'!$G4*0.01)/SUM('1、课程目标与考核方式'!$C$3:$G$3)</f>
        <v>0</v>
      </c>
      <c r="X4">
        <f ca="1">('1、课程目标与考核方式'!$C$7*'4、平时成绩'!$C4*0.01+'1、课程目标与考核方式'!$D$7*'4、平时成绩'!$D4*0.01+'1、课程目标与考核方式'!$E$7*'4、平时成绩'!$E4*0.01+'1、课程目标与考核方式'!$F$7*'4、平时成绩'!$F4*0.01+'1、课程目标与考核方式'!$G$7*'4、平时成绩'!$G4*0.01)/SUM('1、课程目标与考核方式'!$C$3:$G$3)</f>
        <v>0</v>
      </c>
      <c r="Y4">
        <f ca="1">('1、课程目标与考核方式'!$C$8*'4、平时成绩'!$C4*0.01+'1、课程目标与考核方式'!$D$8*'4、平时成绩'!$D4*0.01+'1、课程目标与考核方式'!$E$8*'4、平时成绩'!$E4*0.01+'1、课程目标与考核方式'!$F$8*'4、平时成绩'!$F4*0.01+'1、课程目标与考核方式'!$G$8*'4、平时成绩'!$G4*0.01)/SUM('1、课程目标与考核方式'!$C$3:$G$3)</f>
        <v>0</v>
      </c>
      <c r="Z4">
        <f ca="1">('1、课程目标与考核方式'!$C$9*'4、平时成绩'!$C4*0.01+'1、课程目标与考核方式'!$D$9*'4、平时成绩'!$D4*0.01+'1、课程目标与考核方式'!$E$9*'4、平时成绩'!$E4*0.01+'1、课程目标与考核方式'!$F$9*'4、平时成绩'!$F4*0.01+'1、课程目标与考核方式'!$G$9*'4、平时成绩'!$G4*0.01)/SUM('1、课程目标与考核方式'!$C$3:$G$3)</f>
        <v>0</v>
      </c>
      <c r="AA4">
        <f ca="1">('1、课程目标与考核方式'!$C$10*'4、平时成绩'!$C4*0.01+'1、课程目标与考核方式'!$D$10*'4、平时成绩'!$D4*0.01+'1、课程目标与考核方式'!$E$10*'4、平时成绩'!$E4*0.01+'1、课程目标与考核方式'!$F$10*'4、平时成绩'!$F4*0.01+'1、课程目标与考核方式'!$G$10*'4、平时成绩'!$G4*0.01)/SUM('1、课程目标与考核方式'!$C$3:$G$3)</f>
        <v>0</v>
      </c>
      <c r="AB4">
        <f>'3、期末成绩'!C4/'2、试卷（期末题目-课程目标）'!$C$2</f>
        <v>0.95</v>
      </c>
      <c r="AC4">
        <f>'3、期末成绩'!D4/'2、试卷（期末题目-课程目标）'!$C$3</f>
        <v>0.95</v>
      </c>
    </row>
    <row r="5" spans="10:29">
      <c r="J5" s="243" t="str">
        <f>IF(ISBLANK('3、期末成绩'!A5)," ",'3、期末成绩'!A5)</f>
        <v>1653104</v>
      </c>
      <c r="K5" s="244" t="str">
        <f>IF(J5=" "," ",VLOOKUP(J5,'3、期末成绩'!$A$2:$B$201,2,FALSE))</f>
        <v>董思佳</v>
      </c>
      <c r="L5">
        <f ca="1">0.01*(T5*SUM('1、课程目标与考核方式'!$C$13:$G$13)+AB5*'1、课程目标与考核方式'!$H$13)</f>
        <v>0.661</v>
      </c>
      <c r="M5">
        <f ca="1">0.01*(U5*SUM('1、课程目标与考核方式'!$C$13:$G$13)+AC5*'1、课程目标与考核方式'!$H$13)</f>
        <v>0.661</v>
      </c>
      <c r="N5">
        <f ca="1">0.01*(V5*SUM('1、课程目标与考核方式'!$C$13:$G$13)+AD5*'1、课程目标与考核方式'!$H$13)</f>
        <v>0.186</v>
      </c>
      <c r="O5">
        <f ca="1">0.01*(W5*SUM('1、课程目标与考核方式'!$C$13:$G$13)+AE5*'1、课程目标与考核方式'!$H$13)</f>
        <v>0</v>
      </c>
      <c r="P5">
        <f ca="1">0.01*(X5*SUM('1、课程目标与考核方式'!$C$13:$G$13)+AF5*'1、课程目标与考核方式'!$H$13)</f>
        <v>0</v>
      </c>
      <c r="Q5">
        <f ca="1">0.01*(Y5*SUM('1、课程目标与考核方式'!$C$13:$G$13)+AG5*'1、课程目标与考核方式'!$H$13)</f>
        <v>0</v>
      </c>
      <c r="R5">
        <f ca="1">0.01*(Z5*SUM('1、课程目标与考核方式'!$C$13:$G$13)+AH5*'1、课程目标与考核方式'!$H$13)</f>
        <v>0</v>
      </c>
      <c r="S5">
        <f ca="1">0.01*(AA5*SUM('1、课程目标与考核方式'!$C$13:$G$13)+AI5*'1、课程目标与考核方式'!$H$13)</f>
        <v>0</v>
      </c>
      <c r="T5">
        <f ca="1">('1、课程目标与考核方式'!$C$3*'4、平时成绩'!$C5*0.01+'1、课程目标与考核方式'!$D$3*'4、平时成绩'!$D5*0.01+'1、课程目标与考核方式'!$E$3*'4、平时成绩'!$E5*0.01+'1、课程目标与考核方式'!$F$3*'4、平时成绩'!$F5*0.01+'1、课程目标与考核方式'!$G$3*'4、平时成绩'!$G5*0.01)/SUM('1、课程目标与考核方式'!$C$3:$G$3)</f>
        <v>0.688888888888889</v>
      </c>
      <c r="U5">
        <f ca="1">('1、课程目标与考核方式'!$C$4*'4、平时成绩'!$C5*0.01+'1、课程目标与考核方式'!$D$4*'4、平时成绩'!$D5*0.01+'1、课程目标与考核方式'!$E$4*'4、平时成绩'!$E5*0.01+'1、课程目标与考核方式'!$F$4*'4、平时成绩'!$F5*0.01+'1、课程目标与考核方式'!$G$4*'4、平时成绩'!$G5*0.01)/SUM('1、课程目标与考核方式'!$C$3:$G$3)</f>
        <v>0.688888888888889</v>
      </c>
      <c r="V5">
        <f ca="1">('1、课程目标与考核方式'!$C$5*'4、平时成绩'!$C5*0.01+'1、课程目标与考核方式'!$D$5*'4、平时成绩'!$D5*0.01+'1、课程目标与考核方式'!$E$5*'4、平时成绩'!$E5*0.01+'1、课程目标与考核方式'!$F$5*'4、平时成绩'!$F5*0.01+'1、课程目标与考核方式'!$G$5*'4、平时成绩'!$G5*0.01)/SUM('1、课程目标与考核方式'!$C$3:$G$3)</f>
        <v>0.688888888888889</v>
      </c>
      <c r="W5">
        <f ca="1">('1、课程目标与考核方式'!$C$6*'4、平时成绩'!$C5*0.01+'1、课程目标与考核方式'!$D$6*'4、平时成绩'!$D5*0.01+'1、课程目标与考核方式'!$E$6*'4、平时成绩'!$E5*0.01+'1、课程目标与考核方式'!$F$6*'4、平时成绩'!$F5*0.01+'1、课程目标与考核方式'!$G$6*'4、平时成绩'!$G5*0.01)/SUM('1、课程目标与考核方式'!$C$3:$G$3)</f>
        <v>0</v>
      </c>
      <c r="X5">
        <f ca="1">('1、课程目标与考核方式'!$C$7*'4、平时成绩'!$C5*0.01+'1、课程目标与考核方式'!$D$7*'4、平时成绩'!$D5*0.01+'1、课程目标与考核方式'!$E$7*'4、平时成绩'!$E5*0.01+'1、课程目标与考核方式'!$F$7*'4、平时成绩'!$F5*0.01+'1、课程目标与考核方式'!$G$7*'4、平时成绩'!$G5*0.01)/SUM('1、课程目标与考核方式'!$C$3:$G$3)</f>
        <v>0</v>
      </c>
      <c r="Y5">
        <f ca="1">('1、课程目标与考核方式'!$C$8*'4、平时成绩'!$C5*0.01+'1、课程目标与考核方式'!$D$8*'4、平时成绩'!$D5*0.01+'1、课程目标与考核方式'!$E$8*'4、平时成绩'!$E5*0.01+'1、课程目标与考核方式'!$F$8*'4、平时成绩'!$F5*0.01+'1、课程目标与考核方式'!$G$8*'4、平时成绩'!$G5*0.01)/SUM('1、课程目标与考核方式'!$C$3:$G$3)</f>
        <v>0</v>
      </c>
      <c r="Z5">
        <f ca="1">('1、课程目标与考核方式'!$C$9*'4、平时成绩'!$C5*0.01+'1、课程目标与考核方式'!$D$9*'4、平时成绩'!$D5*0.01+'1、课程目标与考核方式'!$E$9*'4、平时成绩'!$E5*0.01+'1、课程目标与考核方式'!$F$9*'4、平时成绩'!$F5*0.01+'1、课程目标与考核方式'!$G$9*'4、平时成绩'!$G5*0.01)/SUM('1、课程目标与考核方式'!$C$3:$G$3)</f>
        <v>0</v>
      </c>
      <c r="AA5">
        <f ca="1">('1、课程目标与考核方式'!$C$10*'4、平时成绩'!$C5*0.01+'1、课程目标与考核方式'!$D$10*'4、平时成绩'!$D5*0.01+'1、课程目标与考核方式'!$E$10*'4、平时成绩'!$E5*0.01+'1、课程目标与考核方式'!$F$10*'4、平时成绩'!$F5*0.01+'1、课程目标与考核方式'!$G$10*'4、平时成绩'!$G5*0.01)/SUM('1、课程目标与考核方式'!$C$3:$G$3)</f>
        <v>0</v>
      </c>
      <c r="AB5">
        <f>'3、期末成绩'!C5/'2、试卷（期末题目-课程目标）'!$C$2</f>
        <v>0.95</v>
      </c>
      <c r="AC5">
        <f>'3、期末成绩'!D5/'2、试卷（期末题目-课程目标）'!$C$3</f>
        <v>0.95</v>
      </c>
    </row>
    <row r="6" spans="10:29">
      <c r="J6" s="243" t="str">
        <f>IF(ISBLANK('3、期末成绩'!A6)," ",'3、期末成绩'!A6)</f>
        <v>1653105</v>
      </c>
      <c r="K6" s="244" t="str">
        <f>IF(J6=" "," ",VLOOKUP(J6,'3、期末成绩'!$A$2:$B$201,2,FALSE))</f>
        <v>姜雨涵</v>
      </c>
      <c r="L6">
        <f ca="1">0.01*(T6*SUM('1、课程目标与考核方式'!$C$13:$G$13)+AB6*'1、课程目标与考核方式'!$H$13)</f>
        <v>0.7243</v>
      </c>
      <c r="M6">
        <f ca="1">0.01*(U6*SUM('1、课程目标与考核方式'!$C$13:$G$13)+AC6*'1、课程目标与考核方式'!$H$13)</f>
        <v>0.7243</v>
      </c>
      <c r="N6">
        <f ca="1">0.01*(V6*SUM('1、课程目标与考核方式'!$C$13:$G$13)+AD6*'1、课程目标与考核方式'!$H$13)</f>
        <v>0.2493</v>
      </c>
      <c r="O6">
        <f ca="1">0.01*(W6*SUM('1、课程目标与考核方式'!$C$13:$G$13)+AE6*'1、课程目标与考核方式'!$H$13)</f>
        <v>0</v>
      </c>
      <c r="P6">
        <f ca="1">0.01*(X6*SUM('1、课程目标与考核方式'!$C$13:$G$13)+AF6*'1、课程目标与考核方式'!$H$13)</f>
        <v>0</v>
      </c>
      <c r="Q6">
        <f ca="1">0.01*(Y6*SUM('1、课程目标与考核方式'!$C$13:$G$13)+AG6*'1、课程目标与考核方式'!$H$13)</f>
        <v>0</v>
      </c>
      <c r="R6">
        <f ca="1">0.01*(Z6*SUM('1、课程目标与考核方式'!$C$13:$G$13)+AH6*'1、课程目标与考核方式'!$H$13)</f>
        <v>0</v>
      </c>
      <c r="S6">
        <f ca="1">0.01*(AA6*SUM('1、课程目标与考核方式'!$C$13:$G$13)+AI6*'1、课程目标与考核方式'!$H$13)</f>
        <v>0</v>
      </c>
      <c r="T6">
        <f ca="1">('1、课程目标与考核方式'!$C$3*'4、平时成绩'!$C6*0.01+'1、课程目标与考核方式'!$D$3*'4、平时成绩'!$D6*0.01+'1、课程目标与考核方式'!$E$3*'4、平时成绩'!$E6*0.01+'1、课程目标与考核方式'!$F$3*'4、平时成绩'!$F6*0.01+'1、课程目标与考核方式'!$G$3*'4、平时成绩'!$G6*0.01)/SUM('1、课程目标与考核方式'!$C$3:$G$3)</f>
        <v>0.923333333333333</v>
      </c>
      <c r="U6">
        <f ca="1">('1、课程目标与考核方式'!$C$4*'4、平时成绩'!$C6*0.01+'1、课程目标与考核方式'!$D$4*'4、平时成绩'!$D6*0.01+'1、课程目标与考核方式'!$E$4*'4、平时成绩'!$E6*0.01+'1、课程目标与考核方式'!$F$4*'4、平时成绩'!$F6*0.01+'1、课程目标与考核方式'!$G$4*'4、平时成绩'!$G6*0.01)/SUM('1、课程目标与考核方式'!$C$3:$G$3)</f>
        <v>0.923333333333333</v>
      </c>
      <c r="V6">
        <f ca="1">('1、课程目标与考核方式'!$C$5*'4、平时成绩'!$C6*0.01+'1、课程目标与考核方式'!$D$5*'4、平时成绩'!$D6*0.01+'1、课程目标与考核方式'!$E$5*'4、平时成绩'!$E6*0.01+'1、课程目标与考核方式'!$F$5*'4、平时成绩'!$F6*0.01+'1、课程目标与考核方式'!$G$5*'4、平时成绩'!$G6*0.01)/SUM('1、课程目标与考核方式'!$C$3:$G$3)</f>
        <v>0.923333333333333</v>
      </c>
      <c r="W6">
        <f ca="1">('1、课程目标与考核方式'!$C$6*'4、平时成绩'!$C6*0.01+'1、课程目标与考核方式'!$D$6*'4、平时成绩'!$D6*0.01+'1、课程目标与考核方式'!$E$6*'4、平时成绩'!$E6*0.01+'1、课程目标与考核方式'!$F$6*'4、平时成绩'!$F6*0.01+'1、课程目标与考核方式'!$G$6*'4、平时成绩'!$G6*0.01)/SUM('1、课程目标与考核方式'!$C$3:$G$3)</f>
        <v>0</v>
      </c>
      <c r="X6">
        <f ca="1">('1、课程目标与考核方式'!$C$7*'4、平时成绩'!$C6*0.01+'1、课程目标与考核方式'!$D$7*'4、平时成绩'!$D6*0.01+'1、课程目标与考核方式'!$E$7*'4、平时成绩'!$E6*0.01+'1、课程目标与考核方式'!$F$7*'4、平时成绩'!$F6*0.01+'1、课程目标与考核方式'!$G$7*'4、平时成绩'!$G6*0.01)/SUM('1、课程目标与考核方式'!$C$3:$G$3)</f>
        <v>0</v>
      </c>
      <c r="Y6">
        <f ca="1">('1、课程目标与考核方式'!$C$8*'4、平时成绩'!$C6*0.01+'1、课程目标与考核方式'!$D$8*'4、平时成绩'!$D6*0.01+'1、课程目标与考核方式'!$E$8*'4、平时成绩'!$E6*0.01+'1、课程目标与考核方式'!$F$8*'4、平时成绩'!$F6*0.01+'1、课程目标与考核方式'!$G$8*'4、平时成绩'!$G6*0.01)/SUM('1、课程目标与考核方式'!$C$3:$G$3)</f>
        <v>0</v>
      </c>
      <c r="Z6">
        <f ca="1">('1、课程目标与考核方式'!$C$9*'4、平时成绩'!$C6*0.01+'1、课程目标与考核方式'!$D$9*'4、平时成绩'!$D6*0.01+'1、课程目标与考核方式'!$E$9*'4、平时成绩'!$E6*0.01+'1、课程目标与考核方式'!$F$9*'4、平时成绩'!$F6*0.01+'1、课程目标与考核方式'!$G$9*'4、平时成绩'!$G6*0.01)/SUM('1、课程目标与考核方式'!$C$3:$G$3)</f>
        <v>0</v>
      </c>
      <c r="AA6">
        <f ca="1">('1、课程目标与考核方式'!$C$10*'4、平时成绩'!$C6*0.01+'1、课程目标与考核方式'!$D$10*'4、平时成绩'!$D6*0.01+'1、课程目标与考核方式'!$E$10*'4、平时成绩'!$E6*0.01+'1、课程目标与考核方式'!$F$10*'4、平时成绩'!$F6*0.01+'1、课程目标与考核方式'!$G$10*'4、平时成绩'!$G6*0.01)/SUM('1、课程目标与考核方式'!$C$3:$G$3)</f>
        <v>0</v>
      </c>
      <c r="AB6">
        <f>'3、期末成绩'!C6/'2、试卷（期末题目-课程目标）'!$C$2</f>
        <v>0.95</v>
      </c>
      <c r="AC6">
        <f>'3、期末成绩'!D6/'2、试卷（期末题目-课程目标）'!$C$3</f>
        <v>0.95</v>
      </c>
    </row>
    <row r="7" spans="10:29">
      <c r="J7" s="243" t="str">
        <f>IF(ISBLANK('3、期末成绩'!A7)," ",'3、期末成绩'!A7)</f>
        <v>1653106</v>
      </c>
      <c r="K7" s="244" t="str">
        <f>IF(J7=" "," ",VLOOKUP(J7,'3、期末成绩'!$A$2:$B$201,2,FALSE))</f>
        <v>杜虹樾</v>
      </c>
      <c r="L7">
        <f ca="1">0.01*(T7*SUM('1、课程目标与考核方式'!$C$13:$G$13)+AB7*'1、课程目标与考核方式'!$H$13)</f>
        <v>0.7216</v>
      </c>
      <c r="M7">
        <f ca="1">0.01*(U7*SUM('1、课程目标与考核方式'!$C$13:$G$13)+AC7*'1、课程目标与考核方式'!$H$13)</f>
        <v>0.7216</v>
      </c>
      <c r="N7">
        <f ca="1">0.01*(V7*SUM('1、课程目标与考核方式'!$C$13:$G$13)+AD7*'1、课程目标与考核方式'!$H$13)</f>
        <v>0.2466</v>
      </c>
      <c r="O7">
        <f ca="1">0.01*(W7*SUM('1、课程目标与考核方式'!$C$13:$G$13)+AE7*'1、课程目标与考核方式'!$H$13)</f>
        <v>0</v>
      </c>
      <c r="P7">
        <f ca="1">0.01*(X7*SUM('1、课程目标与考核方式'!$C$13:$G$13)+AF7*'1、课程目标与考核方式'!$H$13)</f>
        <v>0</v>
      </c>
      <c r="Q7">
        <f ca="1">0.01*(Y7*SUM('1、课程目标与考核方式'!$C$13:$G$13)+AG7*'1、课程目标与考核方式'!$H$13)</f>
        <v>0</v>
      </c>
      <c r="R7">
        <f ca="1">0.01*(Z7*SUM('1、课程目标与考核方式'!$C$13:$G$13)+AH7*'1、课程目标与考核方式'!$H$13)</f>
        <v>0</v>
      </c>
      <c r="S7">
        <f ca="1">0.01*(AA7*SUM('1、课程目标与考核方式'!$C$13:$G$13)+AI7*'1、课程目标与考核方式'!$H$13)</f>
        <v>0</v>
      </c>
      <c r="T7">
        <f ca="1">('1、课程目标与考核方式'!$C$3*'4、平时成绩'!$C7*0.01+'1、课程目标与考核方式'!$D$3*'4、平时成绩'!$D7*0.01+'1、课程目标与考核方式'!$E$3*'4、平时成绩'!$E7*0.01+'1、课程目标与考核方式'!$F$3*'4、平时成绩'!$F7*0.01+'1、课程目标与考核方式'!$G$3*'4、平时成绩'!$G7*0.01)/SUM('1、课程目标与考核方式'!$C$3:$G$3)</f>
        <v>0.913333333333333</v>
      </c>
      <c r="U7">
        <f ca="1">('1、课程目标与考核方式'!$C$4*'4、平时成绩'!$C7*0.01+'1、课程目标与考核方式'!$D$4*'4、平时成绩'!$D7*0.01+'1、课程目标与考核方式'!$E$4*'4、平时成绩'!$E7*0.01+'1、课程目标与考核方式'!$F$4*'4、平时成绩'!$F7*0.01+'1、课程目标与考核方式'!$G$4*'4、平时成绩'!$G7*0.01)/SUM('1、课程目标与考核方式'!$C$3:$G$3)</f>
        <v>0.913333333333333</v>
      </c>
      <c r="V7">
        <f ca="1">('1、课程目标与考核方式'!$C$5*'4、平时成绩'!$C7*0.01+'1、课程目标与考核方式'!$D$5*'4、平时成绩'!$D7*0.01+'1、课程目标与考核方式'!$E$5*'4、平时成绩'!$E7*0.01+'1、课程目标与考核方式'!$F$5*'4、平时成绩'!$F7*0.01+'1、课程目标与考核方式'!$G$5*'4、平时成绩'!$G7*0.01)/SUM('1、课程目标与考核方式'!$C$3:$G$3)</f>
        <v>0.913333333333333</v>
      </c>
      <c r="W7">
        <f ca="1">('1、课程目标与考核方式'!$C$6*'4、平时成绩'!$C7*0.01+'1、课程目标与考核方式'!$D$6*'4、平时成绩'!$D7*0.01+'1、课程目标与考核方式'!$E$6*'4、平时成绩'!$E7*0.01+'1、课程目标与考核方式'!$F$6*'4、平时成绩'!$F7*0.01+'1、课程目标与考核方式'!$G$6*'4、平时成绩'!$G7*0.01)/SUM('1、课程目标与考核方式'!$C$3:$G$3)</f>
        <v>0</v>
      </c>
      <c r="X7">
        <f ca="1">('1、课程目标与考核方式'!$C$7*'4、平时成绩'!$C7*0.01+'1、课程目标与考核方式'!$D$7*'4、平时成绩'!$D7*0.01+'1、课程目标与考核方式'!$E$7*'4、平时成绩'!$E7*0.01+'1、课程目标与考核方式'!$F$7*'4、平时成绩'!$F7*0.01+'1、课程目标与考核方式'!$G$7*'4、平时成绩'!$G7*0.01)/SUM('1、课程目标与考核方式'!$C$3:$G$3)</f>
        <v>0</v>
      </c>
      <c r="Y7">
        <f ca="1">('1、课程目标与考核方式'!$C$8*'4、平时成绩'!$C7*0.01+'1、课程目标与考核方式'!$D$8*'4、平时成绩'!$D7*0.01+'1、课程目标与考核方式'!$E$8*'4、平时成绩'!$E7*0.01+'1、课程目标与考核方式'!$F$8*'4、平时成绩'!$F7*0.01+'1、课程目标与考核方式'!$G$8*'4、平时成绩'!$G7*0.01)/SUM('1、课程目标与考核方式'!$C$3:$G$3)</f>
        <v>0</v>
      </c>
      <c r="Z7">
        <f ca="1">('1、课程目标与考核方式'!$C$9*'4、平时成绩'!$C7*0.01+'1、课程目标与考核方式'!$D$9*'4、平时成绩'!$D7*0.01+'1、课程目标与考核方式'!$E$9*'4、平时成绩'!$E7*0.01+'1、课程目标与考核方式'!$F$9*'4、平时成绩'!$F7*0.01+'1、课程目标与考核方式'!$G$9*'4、平时成绩'!$G7*0.01)/SUM('1、课程目标与考核方式'!$C$3:$G$3)</f>
        <v>0</v>
      </c>
      <c r="AA7">
        <f ca="1">('1、课程目标与考核方式'!$C$10*'4、平时成绩'!$C7*0.01+'1、课程目标与考核方式'!$D$10*'4、平时成绩'!$D7*0.01+'1、课程目标与考核方式'!$E$10*'4、平时成绩'!$E7*0.01+'1、课程目标与考核方式'!$F$10*'4、平时成绩'!$F7*0.01+'1、课程目标与考核方式'!$G$10*'4、平时成绩'!$G7*0.01)/SUM('1、课程目标与考核方式'!$C$3:$G$3)</f>
        <v>0</v>
      </c>
      <c r="AB7">
        <f>'3、期末成绩'!C7/'2、试卷（期末题目-课程目标）'!$C$2</f>
        <v>0.95</v>
      </c>
      <c r="AC7">
        <f>'3、期末成绩'!D7/'2、试卷（期末题目-课程目标）'!$C$3</f>
        <v>0.95</v>
      </c>
    </row>
    <row r="8" spans="10:29">
      <c r="J8" s="243" t="str">
        <f>IF(ISBLANK('3、期末成绩'!A8)," ",'3、期末成绩'!A8)</f>
        <v>1653107</v>
      </c>
      <c r="K8" s="244" t="str">
        <f>IF(J8=" "," ",VLOOKUP(J8,'3、期末成绩'!$A$2:$B$201,2,FALSE))</f>
        <v>张小宇</v>
      </c>
      <c r="L8">
        <f ca="1">0.01*(T8*SUM('1、课程目标与考核方式'!$C$13:$G$13)+AB8*'1、课程目标与考核方式'!$H$13)</f>
        <v>0.6607</v>
      </c>
      <c r="M8">
        <f ca="1">0.01*(U8*SUM('1、课程目标与考核方式'!$C$13:$G$13)+AC8*'1、课程目标与考核方式'!$H$13)</f>
        <v>0.6607</v>
      </c>
      <c r="N8">
        <f ca="1">0.01*(V8*SUM('1、课程目标与考核方式'!$C$13:$G$13)+AD8*'1、课程目标与考核方式'!$H$13)</f>
        <v>0.1857</v>
      </c>
      <c r="O8">
        <f ca="1">0.01*(W8*SUM('1、课程目标与考核方式'!$C$13:$G$13)+AE8*'1、课程目标与考核方式'!$H$13)</f>
        <v>0</v>
      </c>
      <c r="P8">
        <f ca="1">0.01*(X8*SUM('1、课程目标与考核方式'!$C$13:$G$13)+AF8*'1、课程目标与考核方式'!$H$13)</f>
        <v>0</v>
      </c>
      <c r="Q8">
        <f ca="1">0.01*(Y8*SUM('1、课程目标与考核方式'!$C$13:$G$13)+AG8*'1、课程目标与考核方式'!$H$13)</f>
        <v>0</v>
      </c>
      <c r="R8">
        <f ca="1">0.01*(Z8*SUM('1、课程目标与考核方式'!$C$13:$G$13)+AH8*'1、课程目标与考核方式'!$H$13)</f>
        <v>0</v>
      </c>
      <c r="S8">
        <f ca="1">0.01*(AA8*SUM('1、课程目标与考核方式'!$C$13:$G$13)+AI8*'1、课程目标与考核方式'!$H$13)</f>
        <v>0</v>
      </c>
      <c r="T8">
        <f ca="1">('1、课程目标与考核方式'!$C$3*'4、平时成绩'!$C8*0.01+'1、课程目标与考核方式'!$D$3*'4、平时成绩'!$D8*0.01+'1、课程目标与考核方式'!$E$3*'4、平时成绩'!$E8*0.01+'1、课程目标与考核方式'!$F$3*'4、平时成绩'!$F8*0.01+'1、课程目标与考核方式'!$G$3*'4、平时成绩'!$G8*0.01)/SUM('1、课程目标与考核方式'!$C$3:$G$3)</f>
        <v>0.687777777777778</v>
      </c>
      <c r="U8">
        <f ca="1">('1、课程目标与考核方式'!$C$4*'4、平时成绩'!$C8*0.01+'1、课程目标与考核方式'!$D$4*'4、平时成绩'!$D8*0.01+'1、课程目标与考核方式'!$E$4*'4、平时成绩'!$E8*0.01+'1、课程目标与考核方式'!$F$4*'4、平时成绩'!$F8*0.01+'1、课程目标与考核方式'!$G$4*'4、平时成绩'!$G8*0.01)/SUM('1、课程目标与考核方式'!$C$3:$G$3)</f>
        <v>0.687777777777778</v>
      </c>
      <c r="V8">
        <f ca="1">('1、课程目标与考核方式'!$C$5*'4、平时成绩'!$C8*0.01+'1、课程目标与考核方式'!$D$5*'4、平时成绩'!$D8*0.01+'1、课程目标与考核方式'!$E$5*'4、平时成绩'!$E8*0.01+'1、课程目标与考核方式'!$F$5*'4、平时成绩'!$F8*0.01+'1、课程目标与考核方式'!$G$5*'4、平时成绩'!$G8*0.01)/SUM('1、课程目标与考核方式'!$C$3:$G$3)</f>
        <v>0.687777777777778</v>
      </c>
      <c r="W8">
        <f ca="1">('1、课程目标与考核方式'!$C$6*'4、平时成绩'!$C8*0.01+'1、课程目标与考核方式'!$D$6*'4、平时成绩'!$D8*0.01+'1、课程目标与考核方式'!$E$6*'4、平时成绩'!$E8*0.01+'1、课程目标与考核方式'!$F$6*'4、平时成绩'!$F8*0.01+'1、课程目标与考核方式'!$G$6*'4、平时成绩'!$G8*0.01)/SUM('1、课程目标与考核方式'!$C$3:$G$3)</f>
        <v>0</v>
      </c>
      <c r="X8">
        <f ca="1">('1、课程目标与考核方式'!$C$7*'4、平时成绩'!$C8*0.01+'1、课程目标与考核方式'!$D$7*'4、平时成绩'!$D8*0.01+'1、课程目标与考核方式'!$E$7*'4、平时成绩'!$E8*0.01+'1、课程目标与考核方式'!$F$7*'4、平时成绩'!$F8*0.01+'1、课程目标与考核方式'!$G$7*'4、平时成绩'!$G8*0.01)/SUM('1、课程目标与考核方式'!$C$3:$G$3)</f>
        <v>0</v>
      </c>
      <c r="Y8">
        <f ca="1">('1、课程目标与考核方式'!$C$8*'4、平时成绩'!$C8*0.01+'1、课程目标与考核方式'!$D$8*'4、平时成绩'!$D8*0.01+'1、课程目标与考核方式'!$E$8*'4、平时成绩'!$E8*0.01+'1、课程目标与考核方式'!$F$8*'4、平时成绩'!$F8*0.01+'1、课程目标与考核方式'!$G$8*'4、平时成绩'!$G8*0.01)/SUM('1、课程目标与考核方式'!$C$3:$G$3)</f>
        <v>0</v>
      </c>
      <c r="Z8">
        <f ca="1">('1、课程目标与考核方式'!$C$9*'4、平时成绩'!$C8*0.01+'1、课程目标与考核方式'!$D$9*'4、平时成绩'!$D8*0.01+'1、课程目标与考核方式'!$E$9*'4、平时成绩'!$E8*0.01+'1、课程目标与考核方式'!$F$9*'4、平时成绩'!$F8*0.01+'1、课程目标与考核方式'!$G$9*'4、平时成绩'!$G8*0.01)/SUM('1、课程目标与考核方式'!$C$3:$G$3)</f>
        <v>0</v>
      </c>
      <c r="AA8">
        <f ca="1">('1、课程目标与考核方式'!$C$10*'4、平时成绩'!$C8*0.01+'1、课程目标与考核方式'!$D$10*'4、平时成绩'!$D8*0.01+'1、课程目标与考核方式'!$E$10*'4、平时成绩'!$E8*0.01+'1、课程目标与考核方式'!$F$10*'4、平时成绩'!$F8*0.01+'1、课程目标与考核方式'!$G$10*'4、平时成绩'!$G8*0.01)/SUM('1、课程目标与考核方式'!$C$3:$G$3)</f>
        <v>0</v>
      </c>
      <c r="AB8">
        <f>'3、期末成绩'!C8/'2、试卷（期末题目-课程目标）'!$C$2</f>
        <v>0.95</v>
      </c>
      <c r="AC8">
        <f>'3、期末成绩'!D8/'2、试卷（期末题目-课程目标）'!$C$3</f>
        <v>0.95</v>
      </c>
    </row>
    <row r="9" spans="10:29">
      <c r="J9" s="243" t="str">
        <f>IF(ISBLANK('3、期末成绩'!A9)," ",'3、期末成绩'!A9)</f>
        <v>1653108</v>
      </c>
      <c r="K9" s="244" t="str">
        <f>IF(J9=" "," ",VLOOKUP(J9,'3、期末成绩'!$A$2:$B$201,2,FALSE))</f>
        <v>李丽月</v>
      </c>
      <c r="L9">
        <f ca="1">0.01*(T9*SUM('1、课程目标与考核方式'!$C$13:$G$13)+AB9*'1、课程目标与考核方式'!$H$13)</f>
        <v>0.7039</v>
      </c>
      <c r="M9">
        <f ca="1">0.01*(U9*SUM('1、课程目标与考核方式'!$C$13:$G$13)+AC9*'1、课程目标与考核方式'!$H$13)</f>
        <v>0.7039</v>
      </c>
      <c r="N9">
        <f ca="1">0.01*(V9*SUM('1、课程目标与考核方式'!$C$13:$G$13)+AD9*'1、课程目标与考核方式'!$H$13)</f>
        <v>0.2289</v>
      </c>
      <c r="O9">
        <f ca="1">0.01*(W9*SUM('1、课程目标与考核方式'!$C$13:$G$13)+AE9*'1、课程目标与考核方式'!$H$13)</f>
        <v>0</v>
      </c>
      <c r="P9">
        <f ca="1">0.01*(X9*SUM('1、课程目标与考核方式'!$C$13:$G$13)+AF9*'1、课程目标与考核方式'!$H$13)</f>
        <v>0</v>
      </c>
      <c r="Q9">
        <f ca="1">0.01*(Y9*SUM('1、课程目标与考核方式'!$C$13:$G$13)+AG9*'1、课程目标与考核方式'!$H$13)</f>
        <v>0</v>
      </c>
      <c r="R9">
        <f ca="1">0.01*(Z9*SUM('1、课程目标与考核方式'!$C$13:$G$13)+AH9*'1、课程目标与考核方式'!$H$13)</f>
        <v>0</v>
      </c>
      <c r="S9">
        <f ca="1">0.01*(AA9*SUM('1、课程目标与考核方式'!$C$13:$G$13)+AI9*'1、课程目标与考核方式'!$H$13)</f>
        <v>0</v>
      </c>
      <c r="T9">
        <f ca="1">('1、课程目标与考核方式'!$C$3*'4、平时成绩'!$C9*0.01+'1、课程目标与考核方式'!$D$3*'4、平时成绩'!$D9*0.01+'1、课程目标与考核方式'!$E$3*'4、平时成绩'!$E9*0.01+'1、课程目标与考核方式'!$F$3*'4、平时成绩'!$F9*0.01+'1、课程目标与考核方式'!$G$3*'4、平时成绩'!$G9*0.01)/SUM('1、课程目标与考核方式'!$C$3:$G$3)</f>
        <v>0.847777777777778</v>
      </c>
      <c r="U9">
        <f ca="1">('1、课程目标与考核方式'!$C$4*'4、平时成绩'!$C9*0.01+'1、课程目标与考核方式'!$D$4*'4、平时成绩'!$D9*0.01+'1、课程目标与考核方式'!$E$4*'4、平时成绩'!$E9*0.01+'1、课程目标与考核方式'!$F$4*'4、平时成绩'!$F9*0.01+'1、课程目标与考核方式'!$G$4*'4、平时成绩'!$G9*0.01)/SUM('1、课程目标与考核方式'!$C$3:$G$3)</f>
        <v>0.847777777777778</v>
      </c>
      <c r="V9">
        <f ca="1">('1、课程目标与考核方式'!$C$5*'4、平时成绩'!$C9*0.01+'1、课程目标与考核方式'!$D$5*'4、平时成绩'!$D9*0.01+'1、课程目标与考核方式'!$E$5*'4、平时成绩'!$E9*0.01+'1、课程目标与考核方式'!$F$5*'4、平时成绩'!$F9*0.01+'1、课程目标与考核方式'!$G$5*'4、平时成绩'!$G9*0.01)/SUM('1、课程目标与考核方式'!$C$3:$G$3)</f>
        <v>0.847777777777778</v>
      </c>
      <c r="W9">
        <f ca="1">('1、课程目标与考核方式'!$C$6*'4、平时成绩'!$C9*0.01+'1、课程目标与考核方式'!$D$6*'4、平时成绩'!$D9*0.01+'1、课程目标与考核方式'!$E$6*'4、平时成绩'!$E9*0.01+'1、课程目标与考核方式'!$F$6*'4、平时成绩'!$F9*0.01+'1、课程目标与考核方式'!$G$6*'4、平时成绩'!$G9*0.01)/SUM('1、课程目标与考核方式'!$C$3:$G$3)</f>
        <v>0</v>
      </c>
      <c r="X9">
        <f ca="1">('1、课程目标与考核方式'!$C$7*'4、平时成绩'!$C9*0.01+'1、课程目标与考核方式'!$D$7*'4、平时成绩'!$D9*0.01+'1、课程目标与考核方式'!$E$7*'4、平时成绩'!$E9*0.01+'1、课程目标与考核方式'!$F$7*'4、平时成绩'!$F9*0.01+'1、课程目标与考核方式'!$G$7*'4、平时成绩'!$G9*0.01)/SUM('1、课程目标与考核方式'!$C$3:$G$3)</f>
        <v>0</v>
      </c>
      <c r="Y9">
        <f ca="1">('1、课程目标与考核方式'!$C$8*'4、平时成绩'!$C9*0.01+'1、课程目标与考核方式'!$D$8*'4、平时成绩'!$D9*0.01+'1、课程目标与考核方式'!$E$8*'4、平时成绩'!$E9*0.01+'1、课程目标与考核方式'!$F$8*'4、平时成绩'!$F9*0.01+'1、课程目标与考核方式'!$G$8*'4、平时成绩'!$G9*0.01)/SUM('1、课程目标与考核方式'!$C$3:$G$3)</f>
        <v>0</v>
      </c>
      <c r="Z9">
        <f ca="1">('1、课程目标与考核方式'!$C$9*'4、平时成绩'!$C9*0.01+'1、课程目标与考核方式'!$D$9*'4、平时成绩'!$D9*0.01+'1、课程目标与考核方式'!$E$9*'4、平时成绩'!$E9*0.01+'1、课程目标与考核方式'!$F$9*'4、平时成绩'!$F9*0.01+'1、课程目标与考核方式'!$G$9*'4、平时成绩'!$G9*0.01)/SUM('1、课程目标与考核方式'!$C$3:$G$3)</f>
        <v>0</v>
      </c>
      <c r="AA9">
        <f ca="1">('1、课程目标与考核方式'!$C$10*'4、平时成绩'!$C9*0.01+'1、课程目标与考核方式'!$D$10*'4、平时成绩'!$D9*0.01+'1、课程目标与考核方式'!$E$10*'4、平时成绩'!$E9*0.01+'1、课程目标与考核方式'!$F$10*'4、平时成绩'!$F9*0.01+'1、课程目标与考核方式'!$G$10*'4、平时成绩'!$G9*0.01)/SUM('1、课程目标与考核方式'!$C$3:$G$3)</f>
        <v>0</v>
      </c>
      <c r="AB9">
        <f>'3、期末成绩'!C9/'2、试卷（期末题目-课程目标）'!$C$2</f>
        <v>0.95</v>
      </c>
      <c r="AC9">
        <f>'3、期末成绩'!D9/'2、试卷（期末题目-课程目标）'!$C$3</f>
        <v>0.95</v>
      </c>
    </row>
    <row r="10" spans="10:29">
      <c r="J10" s="243" t="str">
        <f>IF(ISBLANK('3、期末成绩'!A10)," ",'3、期末成绩'!A10)</f>
        <v>1653109</v>
      </c>
      <c r="K10" s="244" t="str">
        <f>IF(J10=" "," ",VLOOKUP(J10,'3、期末成绩'!$A$2:$B$201,2,FALSE))</f>
        <v>潘静</v>
      </c>
      <c r="L10">
        <f ca="1">0.01*(T10*SUM('1、课程目标与考核方式'!$C$13:$G$13)+AB10*'1、课程目标与考核方式'!$H$13)</f>
        <v>0.6718</v>
      </c>
      <c r="M10">
        <f ca="1">0.01*(U10*SUM('1、课程目标与考核方式'!$C$13:$G$13)+AC10*'1、课程目标与考核方式'!$H$13)</f>
        <v>0.6718</v>
      </c>
      <c r="N10">
        <f ca="1">0.01*(V10*SUM('1、课程目标与考核方式'!$C$13:$G$13)+AD10*'1、课程目标与考核方式'!$H$13)</f>
        <v>0.1968</v>
      </c>
      <c r="O10">
        <f ca="1">0.01*(W10*SUM('1、课程目标与考核方式'!$C$13:$G$13)+AE10*'1、课程目标与考核方式'!$H$13)</f>
        <v>0</v>
      </c>
      <c r="P10">
        <f ca="1">0.01*(X10*SUM('1、课程目标与考核方式'!$C$13:$G$13)+AF10*'1、课程目标与考核方式'!$H$13)</f>
        <v>0</v>
      </c>
      <c r="Q10">
        <f ca="1">0.01*(Y10*SUM('1、课程目标与考核方式'!$C$13:$G$13)+AG10*'1、课程目标与考核方式'!$H$13)</f>
        <v>0</v>
      </c>
      <c r="R10">
        <f ca="1">0.01*(Z10*SUM('1、课程目标与考核方式'!$C$13:$G$13)+AH10*'1、课程目标与考核方式'!$H$13)</f>
        <v>0</v>
      </c>
      <c r="S10">
        <f ca="1">0.01*(AA10*SUM('1、课程目标与考核方式'!$C$13:$G$13)+AI10*'1、课程目标与考核方式'!$H$13)</f>
        <v>0</v>
      </c>
      <c r="T10">
        <f ca="1">('1、课程目标与考核方式'!$C$3*'4、平时成绩'!$C10*0.01+'1、课程目标与考核方式'!$D$3*'4、平时成绩'!$D10*0.01+'1、课程目标与考核方式'!$E$3*'4、平时成绩'!$E10*0.01+'1、课程目标与考核方式'!$F$3*'4、平时成绩'!$F10*0.01+'1、课程目标与考核方式'!$G$3*'4、平时成绩'!$G10*0.01)/SUM('1、课程目标与考核方式'!$C$3:$G$3)</f>
        <v>0.728888888888889</v>
      </c>
      <c r="U10">
        <f ca="1">('1、课程目标与考核方式'!$C$4*'4、平时成绩'!$C10*0.01+'1、课程目标与考核方式'!$D$4*'4、平时成绩'!$D10*0.01+'1、课程目标与考核方式'!$E$4*'4、平时成绩'!$E10*0.01+'1、课程目标与考核方式'!$F$4*'4、平时成绩'!$F10*0.01+'1、课程目标与考核方式'!$G$4*'4、平时成绩'!$G10*0.01)/SUM('1、课程目标与考核方式'!$C$3:$G$3)</f>
        <v>0.728888888888889</v>
      </c>
      <c r="V10">
        <f ca="1">('1、课程目标与考核方式'!$C$5*'4、平时成绩'!$C10*0.01+'1、课程目标与考核方式'!$D$5*'4、平时成绩'!$D10*0.01+'1、课程目标与考核方式'!$E$5*'4、平时成绩'!$E10*0.01+'1、课程目标与考核方式'!$F$5*'4、平时成绩'!$F10*0.01+'1、课程目标与考核方式'!$G$5*'4、平时成绩'!$G10*0.01)/SUM('1、课程目标与考核方式'!$C$3:$G$3)</f>
        <v>0.728888888888889</v>
      </c>
      <c r="W10">
        <f ca="1">('1、课程目标与考核方式'!$C$6*'4、平时成绩'!$C10*0.01+'1、课程目标与考核方式'!$D$6*'4、平时成绩'!$D10*0.01+'1、课程目标与考核方式'!$E$6*'4、平时成绩'!$E10*0.01+'1、课程目标与考核方式'!$F$6*'4、平时成绩'!$F10*0.01+'1、课程目标与考核方式'!$G$6*'4、平时成绩'!$G10*0.01)/SUM('1、课程目标与考核方式'!$C$3:$G$3)</f>
        <v>0</v>
      </c>
      <c r="X10">
        <f ca="1">('1、课程目标与考核方式'!$C$7*'4、平时成绩'!$C10*0.01+'1、课程目标与考核方式'!$D$7*'4、平时成绩'!$D10*0.01+'1、课程目标与考核方式'!$E$7*'4、平时成绩'!$E10*0.01+'1、课程目标与考核方式'!$F$7*'4、平时成绩'!$F10*0.01+'1、课程目标与考核方式'!$G$7*'4、平时成绩'!$G10*0.01)/SUM('1、课程目标与考核方式'!$C$3:$G$3)</f>
        <v>0</v>
      </c>
      <c r="Y10">
        <f ca="1">('1、课程目标与考核方式'!$C$8*'4、平时成绩'!$C10*0.01+'1、课程目标与考核方式'!$D$8*'4、平时成绩'!$D10*0.01+'1、课程目标与考核方式'!$E$8*'4、平时成绩'!$E10*0.01+'1、课程目标与考核方式'!$F$8*'4、平时成绩'!$F10*0.01+'1、课程目标与考核方式'!$G$8*'4、平时成绩'!$G10*0.01)/SUM('1、课程目标与考核方式'!$C$3:$G$3)</f>
        <v>0</v>
      </c>
      <c r="Z10">
        <f ca="1">('1、课程目标与考核方式'!$C$9*'4、平时成绩'!$C10*0.01+'1、课程目标与考核方式'!$D$9*'4、平时成绩'!$D10*0.01+'1、课程目标与考核方式'!$E$9*'4、平时成绩'!$E10*0.01+'1、课程目标与考核方式'!$F$9*'4、平时成绩'!$F10*0.01+'1、课程目标与考核方式'!$G$9*'4、平时成绩'!$G10*0.01)/SUM('1、课程目标与考核方式'!$C$3:$G$3)</f>
        <v>0</v>
      </c>
      <c r="AA10">
        <f ca="1">('1、课程目标与考核方式'!$C$10*'4、平时成绩'!$C10*0.01+'1、课程目标与考核方式'!$D$10*'4、平时成绩'!$D10*0.01+'1、课程目标与考核方式'!$E$10*'4、平时成绩'!$E10*0.01+'1、课程目标与考核方式'!$F$10*'4、平时成绩'!$F10*0.01+'1、课程目标与考核方式'!$G$10*'4、平时成绩'!$G10*0.01)/SUM('1、课程目标与考核方式'!$C$3:$G$3)</f>
        <v>0</v>
      </c>
      <c r="AB10">
        <f>'3、期末成绩'!C10/'2、试卷（期末题目-课程目标）'!$C$2</f>
        <v>0.95</v>
      </c>
      <c r="AC10">
        <f>'3、期末成绩'!D10/'2、试卷（期末题目-课程目标）'!$C$3</f>
        <v>0.95</v>
      </c>
    </row>
    <row r="11" spans="10:29">
      <c r="J11" s="243" t="str">
        <f>IF(ISBLANK('3、期末成绩'!A11)," ",'3、期末成绩'!A11)</f>
        <v>1653110</v>
      </c>
      <c r="K11" s="244" t="str">
        <f>IF(J11=" "," ",VLOOKUP(J11,'3、期末成绩'!$A$2:$B$201,2,FALSE))</f>
        <v>张仕翠</v>
      </c>
      <c r="L11">
        <f ca="1">0.01*(T11*SUM('1、课程目标与考核方式'!$C$13:$G$13)+AB11*'1、课程目标与考核方式'!$H$13)</f>
        <v>0.676</v>
      </c>
      <c r="M11">
        <f ca="1">0.01*(U11*SUM('1、课程目标与考核方式'!$C$13:$G$13)+AC11*'1、课程目标与考核方式'!$H$13)</f>
        <v>0.676</v>
      </c>
      <c r="N11">
        <f ca="1">0.01*(V11*SUM('1、课程目标与考核方式'!$C$13:$G$13)+AD11*'1、课程目标与考核方式'!$H$13)</f>
        <v>0.201</v>
      </c>
      <c r="O11">
        <f ca="1">0.01*(W11*SUM('1、课程目标与考核方式'!$C$13:$G$13)+AE11*'1、课程目标与考核方式'!$H$13)</f>
        <v>0</v>
      </c>
      <c r="P11">
        <f ca="1">0.01*(X11*SUM('1、课程目标与考核方式'!$C$13:$G$13)+AF11*'1、课程目标与考核方式'!$H$13)</f>
        <v>0</v>
      </c>
      <c r="Q11">
        <f ca="1">0.01*(Y11*SUM('1、课程目标与考核方式'!$C$13:$G$13)+AG11*'1、课程目标与考核方式'!$H$13)</f>
        <v>0</v>
      </c>
      <c r="R11">
        <f ca="1">0.01*(Z11*SUM('1、课程目标与考核方式'!$C$13:$G$13)+AH11*'1、课程目标与考核方式'!$H$13)</f>
        <v>0</v>
      </c>
      <c r="S11">
        <f ca="1">0.01*(AA11*SUM('1、课程目标与考核方式'!$C$13:$G$13)+AI11*'1、课程目标与考核方式'!$H$13)</f>
        <v>0</v>
      </c>
      <c r="T11">
        <f ca="1">('1、课程目标与考核方式'!$C$3*'4、平时成绩'!$C11*0.01+'1、课程目标与考核方式'!$D$3*'4、平时成绩'!$D11*0.01+'1、课程目标与考核方式'!$E$3*'4、平时成绩'!$E11*0.01+'1、课程目标与考核方式'!$F$3*'4、平时成绩'!$F11*0.01+'1、课程目标与考核方式'!$G$3*'4、平时成绩'!$G11*0.01)/SUM('1、课程目标与考核方式'!$C$3:$G$3)</f>
        <v>0.744444444444444</v>
      </c>
      <c r="U11">
        <f ca="1">('1、课程目标与考核方式'!$C$4*'4、平时成绩'!$C11*0.01+'1、课程目标与考核方式'!$D$4*'4、平时成绩'!$D11*0.01+'1、课程目标与考核方式'!$E$4*'4、平时成绩'!$E11*0.01+'1、课程目标与考核方式'!$F$4*'4、平时成绩'!$F11*0.01+'1、课程目标与考核方式'!$G$4*'4、平时成绩'!$G11*0.01)/SUM('1、课程目标与考核方式'!$C$3:$G$3)</f>
        <v>0.744444444444444</v>
      </c>
      <c r="V11">
        <f ca="1">('1、课程目标与考核方式'!$C$5*'4、平时成绩'!$C11*0.01+'1、课程目标与考核方式'!$D$5*'4、平时成绩'!$D11*0.01+'1、课程目标与考核方式'!$E$5*'4、平时成绩'!$E11*0.01+'1、课程目标与考核方式'!$F$5*'4、平时成绩'!$F11*0.01+'1、课程目标与考核方式'!$G$5*'4、平时成绩'!$G11*0.01)/SUM('1、课程目标与考核方式'!$C$3:$G$3)</f>
        <v>0.744444444444444</v>
      </c>
      <c r="W11">
        <f ca="1">('1、课程目标与考核方式'!$C$6*'4、平时成绩'!$C11*0.01+'1、课程目标与考核方式'!$D$6*'4、平时成绩'!$D11*0.01+'1、课程目标与考核方式'!$E$6*'4、平时成绩'!$E11*0.01+'1、课程目标与考核方式'!$F$6*'4、平时成绩'!$F11*0.01+'1、课程目标与考核方式'!$G$6*'4、平时成绩'!$G11*0.01)/SUM('1、课程目标与考核方式'!$C$3:$G$3)</f>
        <v>0</v>
      </c>
      <c r="X11">
        <f ca="1">('1、课程目标与考核方式'!$C$7*'4、平时成绩'!$C11*0.01+'1、课程目标与考核方式'!$D$7*'4、平时成绩'!$D11*0.01+'1、课程目标与考核方式'!$E$7*'4、平时成绩'!$E11*0.01+'1、课程目标与考核方式'!$F$7*'4、平时成绩'!$F11*0.01+'1、课程目标与考核方式'!$G$7*'4、平时成绩'!$G11*0.01)/SUM('1、课程目标与考核方式'!$C$3:$G$3)</f>
        <v>0</v>
      </c>
      <c r="Y11">
        <f ca="1">('1、课程目标与考核方式'!$C$8*'4、平时成绩'!$C11*0.01+'1、课程目标与考核方式'!$D$8*'4、平时成绩'!$D11*0.01+'1、课程目标与考核方式'!$E$8*'4、平时成绩'!$E11*0.01+'1、课程目标与考核方式'!$F$8*'4、平时成绩'!$F11*0.01+'1、课程目标与考核方式'!$G$8*'4、平时成绩'!$G11*0.01)/SUM('1、课程目标与考核方式'!$C$3:$G$3)</f>
        <v>0</v>
      </c>
      <c r="Z11">
        <f ca="1">('1、课程目标与考核方式'!$C$9*'4、平时成绩'!$C11*0.01+'1、课程目标与考核方式'!$D$9*'4、平时成绩'!$D11*0.01+'1、课程目标与考核方式'!$E$9*'4、平时成绩'!$E11*0.01+'1、课程目标与考核方式'!$F$9*'4、平时成绩'!$F11*0.01+'1、课程目标与考核方式'!$G$9*'4、平时成绩'!$G11*0.01)/SUM('1、课程目标与考核方式'!$C$3:$G$3)</f>
        <v>0</v>
      </c>
      <c r="AA11">
        <f ca="1">('1、课程目标与考核方式'!$C$10*'4、平时成绩'!$C11*0.01+'1、课程目标与考核方式'!$D$10*'4、平时成绩'!$D11*0.01+'1、课程目标与考核方式'!$E$10*'4、平时成绩'!$E11*0.01+'1、课程目标与考核方式'!$F$10*'4、平时成绩'!$F11*0.01+'1、课程目标与考核方式'!$G$10*'4、平时成绩'!$G11*0.01)/SUM('1、课程目标与考核方式'!$C$3:$G$3)</f>
        <v>0</v>
      </c>
      <c r="AB11">
        <f>'3、期末成绩'!C11/'2、试卷（期末题目-课程目标）'!$C$2</f>
        <v>0.95</v>
      </c>
      <c r="AC11">
        <f>'3、期末成绩'!D11/'2、试卷（期末题目-课程目标）'!$C$3</f>
        <v>0.95</v>
      </c>
    </row>
    <row r="12" spans="10:29">
      <c r="J12" s="243" t="str">
        <f>IF(ISBLANK('3、期末成绩'!A12)," ",'3、期末成绩'!A12)</f>
        <v>1653111</v>
      </c>
      <c r="K12" s="244" t="str">
        <f>IF(J12=" "," ",VLOOKUP(J12,'3、期末成绩'!$A$2:$B$201,2,FALSE))</f>
        <v>曾利荣</v>
      </c>
      <c r="L12">
        <f ca="1">0.01*(T12*SUM('1、课程目标与考核方式'!$C$13:$G$13)+AB12*'1、课程目标与考核方式'!$H$13)</f>
        <v>0.6826</v>
      </c>
      <c r="M12">
        <f ca="1">0.01*(U12*SUM('1、课程目标与考核方式'!$C$13:$G$13)+AC12*'1、课程目标与考核方式'!$H$13)</f>
        <v>0.6826</v>
      </c>
      <c r="N12">
        <f ca="1">0.01*(V12*SUM('1、课程目标与考核方式'!$C$13:$G$13)+AD12*'1、课程目标与考核方式'!$H$13)</f>
        <v>0.2076</v>
      </c>
      <c r="O12">
        <f ca="1">0.01*(W12*SUM('1、课程目标与考核方式'!$C$13:$G$13)+AE12*'1、课程目标与考核方式'!$H$13)</f>
        <v>0</v>
      </c>
      <c r="P12">
        <f ca="1">0.01*(X12*SUM('1、课程目标与考核方式'!$C$13:$G$13)+AF12*'1、课程目标与考核方式'!$H$13)</f>
        <v>0</v>
      </c>
      <c r="Q12">
        <f ca="1">0.01*(Y12*SUM('1、课程目标与考核方式'!$C$13:$G$13)+AG12*'1、课程目标与考核方式'!$H$13)</f>
        <v>0</v>
      </c>
      <c r="R12">
        <f ca="1">0.01*(Z12*SUM('1、课程目标与考核方式'!$C$13:$G$13)+AH12*'1、课程目标与考核方式'!$H$13)</f>
        <v>0</v>
      </c>
      <c r="S12">
        <f ca="1">0.01*(AA12*SUM('1、课程目标与考核方式'!$C$13:$G$13)+AI12*'1、课程目标与考核方式'!$H$13)</f>
        <v>0</v>
      </c>
      <c r="T12">
        <f ca="1">('1、课程目标与考核方式'!$C$3*'4、平时成绩'!$C12*0.01+'1、课程目标与考核方式'!$D$3*'4、平时成绩'!$D12*0.01+'1、课程目标与考核方式'!$E$3*'4、平时成绩'!$E12*0.01+'1、课程目标与考核方式'!$F$3*'4、平时成绩'!$F12*0.01+'1、课程目标与考核方式'!$G$3*'4、平时成绩'!$G12*0.01)/SUM('1、课程目标与考核方式'!$C$3:$G$3)</f>
        <v>0.768888888888889</v>
      </c>
      <c r="U12">
        <f ca="1">('1、课程目标与考核方式'!$C$4*'4、平时成绩'!$C12*0.01+'1、课程目标与考核方式'!$D$4*'4、平时成绩'!$D12*0.01+'1、课程目标与考核方式'!$E$4*'4、平时成绩'!$E12*0.01+'1、课程目标与考核方式'!$F$4*'4、平时成绩'!$F12*0.01+'1、课程目标与考核方式'!$G$4*'4、平时成绩'!$G12*0.01)/SUM('1、课程目标与考核方式'!$C$3:$G$3)</f>
        <v>0.768888888888889</v>
      </c>
      <c r="V12">
        <f ca="1">('1、课程目标与考核方式'!$C$5*'4、平时成绩'!$C12*0.01+'1、课程目标与考核方式'!$D$5*'4、平时成绩'!$D12*0.01+'1、课程目标与考核方式'!$E$5*'4、平时成绩'!$E12*0.01+'1、课程目标与考核方式'!$F$5*'4、平时成绩'!$F12*0.01+'1、课程目标与考核方式'!$G$5*'4、平时成绩'!$G12*0.01)/SUM('1、课程目标与考核方式'!$C$3:$G$3)</f>
        <v>0.768888888888889</v>
      </c>
      <c r="W12">
        <f ca="1">('1、课程目标与考核方式'!$C$6*'4、平时成绩'!$C12*0.01+'1、课程目标与考核方式'!$D$6*'4、平时成绩'!$D12*0.01+'1、课程目标与考核方式'!$E$6*'4、平时成绩'!$E12*0.01+'1、课程目标与考核方式'!$F$6*'4、平时成绩'!$F12*0.01+'1、课程目标与考核方式'!$G$6*'4、平时成绩'!$G12*0.01)/SUM('1、课程目标与考核方式'!$C$3:$G$3)</f>
        <v>0</v>
      </c>
      <c r="X12">
        <f ca="1">('1、课程目标与考核方式'!$C$7*'4、平时成绩'!$C12*0.01+'1、课程目标与考核方式'!$D$7*'4、平时成绩'!$D12*0.01+'1、课程目标与考核方式'!$E$7*'4、平时成绩'!$E12*0.01+'1、课程目标与考核方式'!$F$7*'4、平时成绩'!$F12*0.01+'1、课程目标与考核方式'!$G$7*'4、平时成绩'!$G12*0.01)/SUM('1、课程目标与考核方式'!$C$3:$G$3)</f>
        <v>0</v>
      </c>
      <c r="Y12">
        <f ca="1">('1、课程目标与考核方式'!$C$8*'4、平时成绩'!$C12*0.01+'1、课程目标与考核方式'!$D$8*'4、平时成绩'!$D12*0.01+'1、课程目标与考核方式'!$E$8*'4、平时成绩'!$E12*0.01+'1、课程目标与考核方式'!$F$8*'4、平时成绩'!$F12*0.01+'1、课程目标与考核方式'!$G$8*'4、平时成绩'!$G12*0.01)/SUM('1、课程目标与考核方式'!$C$3:$G$3)</f>
        <v>0</v>
      </c>
      <c r="Z12">
        <f ca="1">('1、课程目标与考核方式'!$C$9*'4、平时成绩'!$C12*0.01+'1、课程目标与考核方式'!$D$9*'4、平时成绩'!$D12*0.01+'1、课程目标与考核方式'!$E$9*'4、平时成绩'!$E12*0.01+'1、课程目标与考核方式'!$F$9*'4、平时成绩'!$F12*0.01+'1、课程目标与考核方式'!$G$9*'4、平时成绩'!$G12*0.01)/SUM('1、课程目标与考核方式'!$C$3:$G$3)</f>
        <v>0</v>
      </c>
      <c r="AA12">
        <f ca="1">('1、课程目标与考核方式'!$C$10*'4、平时成绩'!$C12*0.01+'1、课程目标与考核方式'!$D$10*'4、平时成绩'!$D12*0.01+'1、课程目标与考核方式'!$E$10*'4、平时成绩'!$E12*0.01+'1、课程目标与考核方式'!$F$10*'4、平时成绩'!$F12*0.01+'1、课程目标与考核方式'!$G$10*'4、平时成绩'!$G12*0.01)/SUM('1、课程目标与考核方式'!$C$3:$G$3)</f>
        <v>0</v>
      </c>
      <c r="AB12">
        <f>'3、期末成绩'!C12/'2、试卷（期末题目-课程目标）'!$C$2</f>
        <v>0.95</v>
      </c>
      <c r="AC12">
        <f>'3、期末成绩'!D12/'2、试卷（期末题目-课程目标）'!$C$3</f>
        <v>0.95</v>
      </c>
    </row>
    <row r="13" spans="10:29">
      <c r="J13" s="243" t="str">
        <f>IF(ISBLANK('3、期末成绩'!A13)," ",'3、期末成绩'!A13)</f>
        <v>1653112</v>
      </c>
      <c r="K13" s="244" t="str">
        <f>IF(J13=" "," ",VLOOKUP(J13,'3、期末成绩'!$A$2:$B$201,2,FALSE))</f>
        <v>李馨月</v>
      </c>
      <c r="L13">
        <f ca="1">0.01*(T13*SUM('1、课程目标与考核方式'!$C$13:$G$13)+AB13*'1、课程目标与考核方式'!$H$13)</f>
        <v>0.7183</v>
      </c>
      <c r="M13">
        <f ca="1">0.01*(U13*SUM('1、课程目标与考核方式'!$C$13:$G$13)+AC13*'1、课程目标与考核方式'!$H$13)</f>
        <v>0.7183</v>
      </c>
      <c r="N13">
        <f ca="1">0.01*(V13*SUM('1、课程目标与考核方式'!$C$13:$G$13)+AD13*'1、课程目标与考核方式'!$H$13)</f>
        <v>0.2433</v>
      </c>
      <c r="O13">
        <f ca="1">0.01*(W13*SUM('1、课程目标与考核方式'!$C$13:$G$13)+AE13*'1、课程目标与考核方式'!$H$13)</f>
        <v>0</v>
      </c>
      <c r="P13">
        <f ca="1">0.01*(X13*SUM('1、课程目标与考核方式'!$C$13:$G$13)+AF13*'1、课程目标与考核方式'!$H$13)</f>
        <v>0</v>
      </c>
      <c r="Q13">
        <f ca="1">0.01*(Y13*SUM('1、课程目标与考核方式'!$C$13:$G$13)+AG13*'1、课程目标与考核方式'!$H$13)</f>
        <v>0</v>
      </c>
      <c r="R13">
        <f ca="1">0.01*(Z13*SUM('1、课程目标与考核方式'!$C$13:$G$13)+AH13*'1、课程目标与考核方式'!$H$13)</f>
        <v>0</v>
      </c>
      <c r="S13">
        <f ca="1">0.01*(AA13*SUM('1、课程目标与考核方式'!$C$13:$G$13)+AI13*'1、课程目标与考核方式'!$H$13)</f>
        <v>0</v>
      </c>
      <c r="T13">
        <f ca="1">('1、课程目标与考核方式'!$C$3*'4、平时成绩'!$C13*0.01+'1、课程目标与考核方式'!$D$3*'4、平时成绩'!$D13*0.01+'1、课程目标与考核方式'!$E$3*'4、平时成绩'!$E13*0.01+'1、课程目标与考核方式'!$F$3*'4、平时成绩'!$F13*0.01+'1、课程目标与考核方式'!$G$3*'4、平时成绩'!$G13*0.01)/SUM('1、课程目标与考核方式'!$C$3:$G$3)</f>
        <v>0.901111111111111</v>
      </c>
      <c r="U13">
        <f ca="1">('1、课程目标与考核方式'!$C$4*'4、平时成绩'!$C13*0.01+'1、课程目标与考核方式'!$D$4*'4、平时成绩'!$D13*0.01+'1、课程目标与考核方式'!$E$4*'4、平时成绩'!$E13*0.01+'1、课程目标与考核方式'!$F$4*'4、平时成绩'!$F13*0.01+'1、课程目标与考核方式'!$G$4*'4、平时成绩'!$G13*0.01)/SUM('1、课程目标与考核方式'!$C$3:$G$3)</f>
        <v>0.901111111111111</v>
      </c>
      <c r="V13">
        <f ca="1">('1、课程目标与考核方式'!$C$5*'4、平时成绩'!$C13*0.01+'1、课程目标与考核方式'!$D$5*'4、平时成绩'!$D13*0.01+'1、课程目标与考核方式'!$E$5*'4、平时成绩'!$E13*0.01+'1、课程目标与考核方式'!$F$5*'4、平时成绩'!$F13*0.01+'1、课程目标与考核方式'!$G$5*'4、平时成绩'!$G13*0.01)/SUM('1、课程目标与考核方式'!$C$3:$G$3)</f>
        <v>0.901111111111111</v>
      </c>
      <c r="W13">
        <f ca="1">('1、课程目标与考核方式'!$C$6*'4、平时成绩'!$C13*0.01+'1、课程目标与考核方式'!$D$6*'4、平时成绩'!$D13*0.01+'1、课程目标与考核方式'!$E$6*'4、平时成绩'!$E13*0.01+'1、课程目标与考核方式'!$F$6*'4、平时成绩'!$F13*0.01+'1、课程目标与考核方式'!$G$6*'4、平时成绩'!$G13*0.01)/SUM('1、课程目标与考核方式'!$C$3:$G$3)</f>
        <v>0</v>
      </c>
      <c r="X13">
        <f ca="1">('1、课程目标与考核方式'!$C$7*'4、平时成绩'!$C13*0.01+'1、课程目标与考核方式'!$D$7*'4、平时成绩'!$D13*0.01+'1、课程目标与考核方式'!$E$7*'4、平时成绩'!$E13*0.01+'1、课程目标与考核方式'!$F$7*'4、平时成绩'!$F13*0.01+'1、课程目标与考核方式'!$G$7*'4、平时成绩'!$G13*0.01)/SUM('1、课程目标与考核方式'!$C$3:$G$3)</f>
        <v>0</v>
      </c>
      <c r="Y13">
        <f ca="1">('1、课程目标与考核方式'!$C$8*'4、平时成绩'!$C13*0.01+'1、课程目标与考核方式'!$D$8*'4、平时成绩'!$D13*0.01+'1、课程目标与考核方式'!$E$8*'4、平时成绩'!$E13*0.01+'1、课程目标与考核方式'!$F$8*'4、平时成绩'!$F13*0.01+'1、课程目标与考核方式'!$G$8*'4、平时成绩'!$G13*0.01)/SUM('1、课程目标与考核方式'!$C$3:$G$3)</f>
        <v>0</v>
      </c>
      <c r="Z13">
        <f ca="1">('1、课程目标与考核方式'!$C$9*'4、平时成绩'!$C13*0.01+'1、课程目标与考核方式'!$D$9*'4、平时成绩'!$D13*0.01+'1、课程目标与考核方式'!$E$9*'4、平时成绩'!$E13*0.01+'1、课程目标与考核方式'!$F$9*'4、平时成绩'!$F13*0.01+'1、课程目标与考核方式'!$G$9*'4、平时成绩'!$G13*0.01)/SUM('1、课程目标与考核方式'!$C$3:$G$3)</f>
        <v>0</v>
      </c>
      <c r="AA13">
        <f ca="1">('1、课程目标与考核方式'!$C$10*'4、平时成绩'!$C13*0.01+'1、课程目标与考核方式'!$D$10*'4、平时成绩'!$D13*0.01+'1、课程目标与考核方式'!$E$10*'4、平时成绩'!$E13*0.01+'1、课程目标与考核方式'!$F$10*'4、平时成绩'!$F13*0.01+'1、课程目标与考核方式'!$G$10*'4、平时成绩'!$G13*0.01)/SUM('1、课程目标与考核方式'!$C$3:$G$3)</f>
        <v>0</v>
      </c>
      <c r="AB13">
        <f>'3、期末成绩'!C13/'2、试卷（期末题目-课程目标）'!$C$2</f>
        <v>0.95</v>
      </c>
      <c r="AC13">
        <f>'3、期末成绩'!D13/'2、试卷（期末题目-课程目标）'!$C$3</f>
        <v>0.95</v>
      </c>
    </row>
    <row r="14" spans="10:29">
      <c r="J14" s="243" t="str">
        <f>IF(ISBLANK('3、期末成绩'!A14)," ",'3、期末成绩'!A14)</f>
        <v>1653113</v>
      </c>
      <c r="K14" s="244" t="str">
        <f>IF(J14=" "," ",VLOOKUP(J14,'3、期末成绩'!$A$2:$B$201,2,FALSE))</f>
        <v>聂甜梦</v>
      </c>
      <c r="L14">
        <f ca="1">0.01*(T14*SUM('1、课程目标与考核方式'!$C$13:$G$13)+AB14*'1、课程目标与考核方式'!$H$13)</f>
        <v>0.6703</v>
      </c>
      <c r="M14">
        <f ca="1">0.01*(U14*SUM('1、课程目标与考核方式'!$C$13:$G$13)+AC14*'1、课程目标与考核方式'!$H$13)</f>
        <v>0.6703</v>
      </c>
      <c r="N14">
        <f ca="1">0.01*(V14*SUM('1、课程目标与考核方式'!$C$13:$G$13)+AD14*'1、课程目标与考核方式'!$H$13)</f>
        <v>0.1953</v>
      </c>
      <c r="O14">
        <f ca="1">0.01*(W14*SUM('1、课程目标与考核方式'!$C$13:$G$13)+AE14*'1、课程目标与考核方式'!$H$13)</f>
        <v>0</v>
      </c>
      <c r="P14">
        <f ca="1">0.01*(X14*SUM('1、课程目标与考核方式'!$C$13:$G$13)+AF14*'1、课程目标与考核方式'!$H$13)</f>
        <v>0</v>
      </c>
      <c r="Q14">
        <f ca="1">0.01*(Y14*SUM('1、课程目标与考核方式'!$C$13:$G$13)+AG14*'1、课程目标与考核方式'!$H$13)</f>
        <v>0</v>
      </c>
      <c r="R14">
        <f ca="1">0.01*(Z14*SUM('1、课程目标与考核方式'!$C$13:$G$13)+AH14*'1、课程目标与考核方式'!$H$13)</f>
        <v>0</v>
      </c>
      <c r="S14">
        <f ca="1">0.01*(AA14*SUM('1、课程目标与考核方式'!$C$13:$G$13)+AI14*'1、课程目标与考核方式'!$H$13)</f>
        <v>0</v>
      </c>
      <c r="T14">
        <f ca="1">('1、课程目标与考核方式'!$C$3*'4、平时成绩'!$C14*0.01+'1、课程目标与考核方式'!$D$3*'4、平时成绩'!$D14*0.01+'1、课程目标与考核方式'!$E$3*'4、平时成绩'!$E14*0.01+'1、课程目标与考核方式'!$F$3*'4、平时成绩'!$F14*0.01+'1、课程目标与考核方式'!$G$3*'4、平时成绩'!$G14*0.01)/SUM('1、课程目标与考核方式'!$C$3:$G$3)</f>
        <v>0.723333333333333</v>
      </c>
      <c r="U14">
        <f ca="1">('1、课程目标与考核方式'!$C$4*'4、平时成绩'!$C14*0.01+'1、课程目标与考核方式'!$D$4*'4、平时成绩'!$D14*0.01+'1、课程目标与考核方式'!$E$4*'4、平时成绩'!$E14*0.01+'1、课程目标与考核方式'!$F$4*'4、平时成绩'!$F14*0.01+'1、课程目标与考核方式'!$G$4*'4、平时成绩'!$G14*0.01)/SUM('1、课程目标与考核方式'!$C$3:$G$3)</f>
        <v>0.723333333333333</v>
      </c>
      <c r="V14">
        <f ca="1">('1、课程目标与考核方式'!$C$5*'4、平时成绩'!$C14*0.01+'1、课程目标与考核方式'!$D$5*'4、平时成绩'!$D14*0.01+'1、课程目标与考核方式'!$E$5*'4、平时成绩'!$E14*0.01+'1、课程目标与考核方式'!$F$5*'4、平时成绩'!$F14*0.01+'1、课程目标与考核方式'!$G$5*'4、平时成绩'!$G14*0.01)/SUM('1、课程目标与考核方式'!$C$3:$G$3)</f>
        <v>0.723333333333333</v>
      </c>
      <c r="W14">
        <f ca="1">('1、课程目标与考核方式'!$C$6*'4、平时成绩'!$C14*0.01+'1、课程目标与考核方式'!$D$6*'4、平时成绩'!$D14*0.01+'1、课程目标与考核方式'!$E$6*'4、平时成绩'!$E14*0.01+'1、课程目标与考核方式'!$F$6*'4、平时成绩'!$F14*0.01+'1、课程目标与考核方式'!$G$6*'4、平时成绩'!$G14*0.01)/SUM('1、课程目标与考核方式'!$C$3:$G$3)</f>
        <v>0</v>
      </c>
      <c r="X14">
        <f ca="1">('1、课程目标与考核方式'!$C$7*'4、平时成绩'!$C14*0.01+'1、课程目标与考核方式'!$D$7*'4、平时成绩'!$D14*0.01+'1、课程目标与考核方式'!$E$7*'4、平时成绩'!$E14*0.01+'1、课程目标与考核方式'!$F$7*'4、平时成绩'!$F14*0.01+'1、课程目标与考核方式'!$G$7*'4、平时成绩'!$G14*0.01)/SUM('1、课程目标与考核方式'!$C$3:$G$3)</f>
        <v>0</v>
      </c>
      <c r="Y14">
        <f ca="1">('1、课程目标与考核方式'!$C$8*'4、平时成绩'!$C14*0.01+'1、课程目标与考核方式'!$D$8*'4、平时成绩'!$D14*0.01+'1、课程目标与考核方式'!$E$8*'4、平时成绩'!$E14*0.01+'1、课程目标与考核方式'!$F$8*'4、平时成绩'!$F14*0.01+'1、课程目标与考核方式'!$G$8*'4、平时成绩'!$G14*0.01)/SUM('1、课程目标与考核方式'!$C$3:$G$3)</f>
        <v>0</v>
      </c>
      <c r="Z14">
        <f ca="1">('1、课程目标与考核方式'!$C$9*'4、平时成绩'!$C14*0.01+'1、课程目标与考核方式'!$D$9*'4、平时成绩'!$D14*0.01+'1、课程目标与考核方式'!$E$9*'4、平时成绩'!$E14*0.01+'1、课程目标与考核方式'!$F$9*'4、平时成绩'!$F14*0.01+'1、课程目标与考核方式'!$G$9*'4、平时成绩'!$G14*0.01)/SUM('1、课程目标与考核方式'!$C$3:$G$3)</f>
        <v>0</v>
      </c>
      <c r="AA14">
        <f ca="1">('1、课程目标与考核方式'!$C$10*'4、平时成绩'!$C14*0.01+'1、课程目标与考核方式'!$D$10*'4、平时成绩'!$D14*0.01+'1、课程目标与考核方式'!$E$10*'4、平时成绩'!$E14*0.01+'1、课程目标与考核方式'!$F$10*'4、平时成绩'!$F14*0.01+'1、课程目标与考核方式'!$G$10*'4、平时成绩'!$G14*0.01)/SUM('1、课程目标与考核方式'!$C$3:$G$3)</f>
        <v>0</v>
      </c>
      <c r="AB14">
        <f>'3、期末成绩'!C14/'2、试卷（期末题目-课程目标）'!$C$2</f>
        <v>0.95</v>
      </c>
      <c r="AC14">
        <f>'3、期末成绩'!D14/'2、试卷（期末题目-课程目标）'!$C$3</f>
        <v>0.95</v>
      </c>
    </row>
    <row r="15" spans="10:29">
      <c r="J15" s="243" t="str">
        <f>IF(ISBLANK('3、期末成绩'!A15)," ",'3、期末成绩'!A15)</f>
        <v>1653114</v>
      </c>
      <c r="K15" s="244" t="str">
        <f>IF(J15=" "," ",VLOOKUP(J15,'3、期末成绩'!$A$2:$B$201,2,FALSE))</f>
        <v>方嵩杨</v>
      </c>
      <c r="L15">
        <f ca="1">0.01*(T15*SUM('1、课程目标与考核方式'!$C$13:$G$13)+AB15*'1、课程目标与考核方式'!$H$13)</f>
        <v>0.6976</v>
      </c>
      <c r="M15">
        <f ca="1">0.01*(U15*SUM('1、课程目标与考核方式'!$C$13:$G$13)+AC15*'1、课程目标与考核方式'!$H$13)</f>
        <v>0.6976</v>
      </c>
      <c r="N15">
        <f ca="1">0.01*(V15*SUM('1、课程目标与考核方式'!$C$13:$G$13)+AD15*'1、课程目标与考核方式'!$H$13)</f>
        <v>0.2226</v>
      </c>
      <c r="O15">
        <f ca="1">0.01*(W15*SUM('1、课程目标与考核方式'!$C$13:$G$13)+AE15*'1、课程目标与考核方式'!$H$13)</f>
        <v>0</v>
      </c>
      <c r="P15">
        <f ca="1">0.01*(X15*SUM('1、课程目标与考核方式'!$C$13:$G$13)+AF15*'1、课程目标与考核方式'!$H$13)</f>
        <v>0</v>
      </c>
      <c r="Q15">
        <f ca="1">0.01*(Y15*SUM('1、课程目标与考核方式'!$C$13:$G$13)+AG15*'1、课程目标与考核方式'!$H$13)</f>
        <v>0</v>
      </c>
      <c r="R15">
        <f ca="1">0.01*(Z15*SUM('1、课程目标与考核方式'!$C$13:$G$13)+AH15*'1、课程目标与考核方式'!$H$13)</f>
        <v>0</v>
      </c>
      <c r="S15">
        <f ca="1">0.01*(AA15*SUM('1、课程目标与考核方式'!$C$13:$G$13)+AI15*'1、课程目标与考核方式'!$H$13)</f>
        <v>0</v>
      </c>
      <c r="T15">
        <f ca="1">('1、课程目标与考核方式'!$C$3*'4、平时成绩'!$C15*0.01+'1、课程目标与考核方式'!$D$3*'4、平时成绩'!$D15*0.01+'1、课程目标与考核方式'!$E$3*'4、平时成绩'!$E15*0.01+'1、课程目标与考核方式'!$F$3*'4、平时成绩'!$F15*0.01+'1、课程目标与考核方式'!$G$3*'4、平时成绩'!$G15*0.01)/SUM('1、课程目标与考核方式'!$C$3:$G$3)</f>
        <v>0.824444444444444</v>
      </c>
      <c r="U15">
        <f ca="1">('1、课程目标与考核方式'!$C$4*'4、平时成绩'!$C15*0.01+'1、课程目标与考核方式'!$D$4*'4、平时成绩'!$D15*0.01+'1、课程目标与考核方式'!$E$4*'4、平时成绩'!$E15*0.01+'1、课程目标与考核方式'!$F$4*'4、平时成绩'!$F15*0.01+'1、课程目标与考核方式'!$G$4*'4、平时成绩'!$G15*0.01)/SUM('1、课程目标与考核方式'!$C$3:$G$3)</f>
        <v>0.824444444444444</v>
      </c>
      <c r="V15">
        <f ca="1">('1、课程目标与考核方式'!$C$5*'4、平时成绩'!$C15*0.01+'1、课程目标与考核方式'!$D$5*'4、平时成绩'!$D15*0.01+'1、课程目标与考核方式'!$E$5*'4、平时成绩'!$E15*0.01+'1、课程目标与考核方式'!$F$5*'4、平时成绩'!$F15*0.01+'1、课程目标与考核方式'!$G$5*'4、平时成绩'!$G15*0.01)/SUM('1、课程目标与考核方式'!$C$3:$G$3)</f>
        <v>0.824444444444444</v>
      </c>
      <c r="W15">
        <f ca="1">('1、课程目标与考核方式'!$C$6*'4、平时成绩'!$C15*0.01+'1、课程目标与考核方式'!$D$6*'4、平时成绩'!$D15*0.01+'1、课程目标与考核方式'!$E$6*'4、平时成绩'!$E15*0.01+'1、课程目标与考核方式'!$F$6*'4、平时成绩'!$F15*0.01+'1、课程目标与考核方式'!$G$6*'4、平时成绩'!$G15*0.01)/SUM('1、课程目标与考核方式'!$C$3:$G$3)</f>
        <v>0</v>
      </c>
      <c r="X15">
        <f ca="1">('1、课程目标与考核方式'!$C$7*'4、平时成绩'!$C15*0.01+'1、课程目标与考核方式'!$D$7*'4、平时成绩'!$D15*0.01+'1、课程目标与考核方式'!$E$7*'4、平时成绩'!$E15*0.01+'1、课程目标与考核方式'!$F$7*'4、平时成绩'!$F15*0.01+'1、课程目标与考核方式'!$G$7*'4、平时成绩'!$G15*0.01)/SUM('1、课程目标与考核方式'!$C$3:$G$3)</f>
        <v>0</v>
      </c>
      <c r="Y15">
        <f ca="1">('1、课程目标与考核方式'!$C$8*'4、平时成绩'!$C15*0.01+'1、课程目标与考核方式'!$D$8*'4、平时成绩'!$D15*0.01+'1、课程目标与考核方式'!$E$8*'4、平时成绩'!$E15*0.01+'1、课程目标与考核方式'!$F$8*'4、平时成绩'!$F15*0.01+'1、课程目标与考核方式'!$G$8*'4、平时成绩'!$G15*0.01)/SUM('1、课程目标与考核方式'!$C$3:$G$3)</f>
        <v>0</v>
      </c>
      <c r="Z15">
        <f ca="1">('1、课程目标与考核方式'!$C$9*'4、平时成绩'!$C15*0.01+'1、课程目标与考核方式'!$D$9*'4、平时成绩'!$D15*0.01+'1、课程目标与考核方式'!$E$9*'4、平时成绩'!$E15*0.01+'1、课程目标与考核方式'!$F$9*'4、平时成绩'!$F15*0.01+'1、课程目标与考核方式'!$G$9*'4、平时成绩'!$G15*0.01)/SUM('1、课程目标与考核方式'!$C$3:$G$3)</f>
        <v>0</v>
      </c>
      <c r="AA15">
        <f ca="1">('1、课程目标与考核方式'!$C$10*'4、平时成绩'!$C15*0.01+'1、课程目标与考核方式'!$D$10*'4、平时成绩'!$D15*0.01+'1、课程目标与考核方式'!$E$10*'4、平时成绩'!$E15*0.01+'1、课程目标与考核方式'!$F$10*'4、平时成绩'!$F15*0.01+'1、课程目标与考核方式'!$G$10*'4、平时成绩'!$G15*0.01)/SUM('1、课程目标与考核方式'!$C$3:$G$3)</f>
        <v>0</v>
      </c>
      <c r="AB15">
        <f>'3、期末成绩'!C15/'2、试卷（期末题目-课程目标）'!$C$2</f>
        <v>0.95</v>
      </c>
      <c r="AC15">
        <f>'3、期末成绩'!D15/'2、试卷（期末题目-课程目标）'!$C$3</f>
        <v>0.95</v>
      </c>
    </row>
    <row r="16" spans="10:29">
      <c r="J16" s="243" t="str">
        <f>IF(ISBLANK('3、期末成绩'!A16)," ",'3、期末成绩'!A16)</f>
        <v>1653115</v>
      </c>
      <c r="K16" s="244" t="str">
        <f>IF(J16=" "," ",VLOOKUP(J16,'3、期末成绩'!$A$2:$B$201,2,FALSE))</f>
        <v>王宇豪</v>
      </c>
      <c r="L16">
        <f ca="1">0.01*(T16*SUM('1、课程目标与考核方式'!$C$13:$G$13)+AB16*'1、课程目标与考核方式'!$H$13)</f>
        <v>0.7105</v>
      </c>
      <c r="M16">
        <f ca="1">0.01*(U16*SUM('1、课程目标与考核方式'!$C$13:$G$13)+AC16*'1、课程目标与考核方式'!$H$13)</f>
        <v>0.7105</v>
      </c>
      <c r="N16">
        <f ca="1">0.01*(V16*SUM('1、课程目标与考核方式'!$C$13:$G$13)+AD16*'1、课程目标与考核方式'!$H$13)</f>
        <v>0.2355</v>
      </c>
      <c r="O16">
        <f ca="1">0.01*(W16*SUM('1、课程目标与考核方式'!$C$13:$G$13)+AE16*'1、课程目标与考核方式'!$H$13)</f>
        <v>0</v>
      </c>
      <c r="P16">
        <f ca="1">0.01*(X16*SUM('1、课程目标与考核方式'!$C$13:$G$13)+AF16*'1、课程目标与考核方式'!$H$13)</f>
        <v>0</v>
      </c>
      <c r="Q16">
        <f ca="1">0.01*(Y16*SUM('1、课程目标与考核方式'!$C$13:$G$13)+AG16*'1、课程目标与考核方式'!$H$13)</f>
        <v>0</v>
      </c>
      <c r="R16">
        <f ca="1">0.01*(Z16*SUM('1、课程目标与考核方式'!$C$13:$G$13)+AH16*'1、课程目标与考核方式'!$H$13)</f>
        <v>0</v>
      </c>
      <c r="S16">
        <f ca="1">0.01*(AA16*SUM('1、课程目标与考核方式'!$C$13:$G$13)+AI16*'1、课程目标与考核方式'!$H$13)</f>
        <v>0</v>
      </c>
      <c r="T16">
        <f ca="1">('1、课程目标与考核方式'!$C$3*'4、平时成绩'!$C16*0.01+'1、课程目标与考核方式'!$D$3*'4、平时成绩'!$D16*0.01+'1、课程目标与考核方式'!$E$3*'4、平时成绩'!$E16*0.01+'1、课程目标与考核方式'!$F$3*'4、平时成绩'!$F16*0.01+'1、课程目标与考核方式'!$G$3*'4、平时成绩'!$G16*0.01)/SUM('1、课程目标与考核方式'!$C$3:$G$3)</f>
        <v>0.872222222222222</v>
      </c>
      <c r="U16">
        <f ca="1">('1、课程目标与考核方式'!$C$4*'4、平时成绩'!$C16*0.01+'1、课程目标与考核方式'!$D$4*'4、平时成绩'!$D16*0.01+'1、课程目标与考核方式'!$E$4*'4、平时成绩'!$E16*0.01+'1、课程目标与考核方式'!$F$4*'4、平时成绩'!$F16*0.01+'1、课程目标与考核方式'!$G$4*'4、平时成绩'!$G16*0.01)/SUM('1、课程目标与考核方式'!$C$3:$G$3)</f>
        <v>0.872222222222222</v>
      </c>
      <c r="V16">
        <f ca="1">('1、课程目标与考核方式'!$C$5*'4、平时成绩'!$C16*0.01+'1、课程目标与考核方式'!$D$5*'4、平时成绩'!$D16*0.01+'1、课程目标与考核方式'!$E$5*'4、平时成绩'!$E16*0.01+'1、课程目标与考核方式'!$F$5*'4、平时成绩'!$F16*0.01+'1、课程目标与考核方式'!$G$5*'4、平时成绩'!$G16*0.01)/SUM('1、课程目标与考核方式'!$C$3:$G$3)</f>
        <v>0.872222222222222</v>
      </c>
      <c r="W16">
        <f ca="1">('1、课程目标与考核方式'!$C$6*'4、平时成绩'!$C16*0.01+'1、课程目标与考核方式'!$D$6*'4、平时成绩'!$D16*0.01+'1、课程目标与考核方式'!$E$6*'4、平时成绩'!$E16*0.01+'1、课程目标与考核方式'!$F$6*'4、平时成绩'!$F16*0.01+'1、课程目标与考核方式'!$G$6*'4、平时成绩'!$G16*0.01)/SUM('1、课程目标与考核方式'!$C$3:$G$3)</f>
        <v>0</v>
      </c>
      <c r="X16">
        <f ca="1">('1、课程目标与考核方式'!$C$7*'4、平时成绩'!$C16*0.01+'1、课程目标与考核方式'!$D$7*'4、平时成绩'!$D16*0.01+'1、课程目标与考核方式'!$E$7*'4、平时成绩'!$E16*0.01+'1、课程目标与考核方式'!$F$7*'4、平时成绩'!$F16*0.01+'1、课程目标与考核方式'!$G$7*'4、平时成绩'!$G16*0.01)/SUM('1、课程目标与考核方式'!$C$3:$G$3)</f>
        <v>0</v>
      </c>
      <c r="Y16">
        <f ca="1">('1、课程目标与考核方式'!$C$8*'4、平时成绩'!$C16*0.01+'1、课程目标与考核方式'!$D$8*'4、平时成绩'!$D16*0.01+'1、课程目标与考核方式'!$E$8*'4、平时成绩'!$E16*0.01+'1、课程目标与考核方式'!$F$8*'4、平时成绩'!$F16*0.01+'1、课程目标与考核方式'!$G$8*'4、平时成绩'!$G16*0.01)/SUM('1、课程目标与考核方式'!$C$3:$G$3)</f>
        <v>0</v>
      </c>
      <c r="Z16">
        <f ca="1">('1、课程目标与考核方式'!$C$9*'4、平时成绩'!$C16*0.01+'1、课程目标与考核方式'!$D$9*'4、平时成绩'!$D16*0.01+'1、课程目标与考核方式'!$E$9*'4、平时成绩'!$E16*0.01+'1、课程目标与考核方式'!$F$9*'4、平时成绩'!$F16*0.01+'1、课程目标与考核方式'!$G$9*'4、平时成绩'!$G16*0.01)/SUM('1、课程目标与考核方式'!$C$3:$G$3)</f>
        <v>0</v>
      </c>
      <c r="AA16">
        <f ca="1">('1、课程目标与考核方式'!$C$10*'4、平时成绩'!$C16*0.01+'1、课程目标与考核方式'!$D$10*'4、平时成绩'!$D16*0.01+'1、课程目标与考核方式'!$E$10*'4、平时成绩'!$E16*0.01+'1、课程目标与考核方式'!$F$10*'4、平时成绩'!$F16*0.01+'1、课程目标与考核方式'!$G$10*'4、平时成绩'!$G16*0.01)/SUM('1、课程目标与考核方式'!$C$3:$G$3)</f>
        <v>0</v>
      </c>
      <c r="AB16">
        <f>'3、期末成绩'!C16/'2、试卷（期末题目-课程目标）'!$C$2</f>
        <v>0.95</v>
      </c>
      <c r="AC16">
        <f>'3、期末成绩'!D16/'2、试卷（期末题目-课程目标）'!$C$3</f>
        <v>0.95</v>
      </c>
    </row>
    <row r="17" spans="10:29">
      <c r="J17" s="243" t="str">
        <f>IF(ISBLANK('3、期末成绩'!A17)," ",'3、期末成绩'!A17)</f>
        <v>1653117</v>
      </c>
      <c r="K17" s="244" t="str">
        <f>IF(J17=" "," ",VLOOKUP(J17,'3、期末成绩'!$A$2:$B$201,2,FALSE))</f>
        <v>盛腾飞</v>
      </c>
      <c r="L17">
        <f ca="1">0.01*(T17*SUM('1、课程目标与考核方式'!$C$13:$G$13)+AB17*'1、课程目标与考核方式'!$H$13)</f>
        <v>0.6622</v>
      </c>
      <c r="M17">
        <f ca="1">0.01*(U17*SUM('1、课程目标与考核方式'!$C$13:$G$13)+AC17*'1、课程目标与考核方式'!$H$13)</f>
        <v>0.6622</v>
      </c>
      <c r="N17">
        <f ca="1">0.01*(V17*SUM('1、课程目标与考核方式'!$C$13:$G$13)+AD17*'1、课程目标与考核方式'!$H$13)</f>
        <v>0.1872</v>
      </c>
      <c r="O17">
        <f ca="1">0.01*(W17*SUM('1、课程目标与考核方式'!$C$13:$G$13)+AE17*'1、课程目标与考核方式'!$H$13)</f>
        <v>0</v>
      </c>
      <c r="P17">
        <f ca="1">0.01*(X17*SUM('1、课程目标与考核方式'!$C$13:$G$13)+AF17*'1、课程目标与考核方式'!$H$13)</f>
        <v>0</v>
      </c>
      <c r="Q17">
        <f ca="1">0.01*(Y17*SUM('1、课程目标与考核方式'!$C$13:$G$13)+AG17*'1、课程目标与考核方式'!$H$13)</f>
        <v>0</v>
      </c>
      <c r="R17">
        <f ca="1">0.01*(Z17*SUM('1、课程目标与考核方式'!$C$13:$G$13)+AH17*'1、课程目标与考核方式'!$H$13)</f>
        <v>0</v>
      </c>
      <c r="S17">
        <f ca="1">0.01*(AA17*SUM('1、课程目标与考核方式'!$C$13:$G$13)+AI17*'1、课程目标与考核方式'!$H$13)</f>
        <v>0</v>
      </c>
      <c r="T17">
        <f ca="1">('1、课程目标与考核方式'!$C$3*'4、平时成绩'!$C17*0.01+'1、课程目标与考核方式'!$D$3*'4、平时成绩'!$D17*0.01+'1、课程目标与考核方式'!$E$3*'4、平时成绩'!$E17*0.01+'1、课程目标与考核方式'!$F$3*'4、平时成绩'!$F17*0.01+'1、课程目标与考核方式'!$G$3*'4、平时成绩'!$G17*0.01)/SUM('1、课程目标与考核方式'!$C$3:$G$3)</f>
        <v>0.693333333333333</v>
      </c>
      <c r="U17">
        <f ca="1">('1、课程目标与考核方式'!$C$4*'4、平时成绩'!$C17*0.01+'1、课程目标与考核方式'!$D$4*'4、平时成绩'!$D17*0.01+'1、课程目标与考核方式'!$E$4*'4、平时成绩'!$E17*0.01+'1、课程目标与考核方式'!$F$4*'4、平时成绩'!$F17*0.01+'1、课程目标与考核方式'!$G$4*'4、平时成绩'!$G17*0.01)/SUM('1、课程目标与考核方式'!$C$3:$G$3)</f>
        <v>0.693333333333333</v>
      </c>
      <c r="V17">
        <f ca="1">('1、课程目标与考核方式'!$C$5*'4、平时成绩'!$C17*0.01+'1、课程目标与考核方式'!$D$5*'4、平时成绩'!$D17*0.01+'1、课程目标与考核方式'!$E$5*'4、平时成绩'!$E17*0.01+'1、课程目标与考核方式'!$F$5*'4、平时成绩'!$F17*0.01+'1、课程目标与考核方式'!$G$5*'4、平时成绩'!$G17*0.01)/SUM('1、课程目标与考核方式'!$C$3:$G$3)</f>
        <v>0.693333333333333</v>
      </c>
      <c r="W17">
        <f ca="1">('1、课程目标与考核方式'!$C$6*'4、平时成绩'!$C17*0.01+'1、课程目标与考核方式'!$D$6*'4、平时成绩'!$D17*0.01+'1、课程目标与考核方式'!$E$6*'4、平时成绩'!$E17*0.01+'1、课程目标与考核方式'!$F$6*'4、平时成绩'!$F17*0.01+'1、课程目标与考核方式'!$G$6*'4、平时成绩'!$G17*0.01)/SUM('1、课程目标与考核方式'!$C$3:$G$3)</f>
        <v>0</v>
      </c>
      <c r="X17">
        <f ca="1">('1、课程目标与考核方式'!$C$7*'4、平时成绩'!$C17*0.01+'1、课程目标与考核方式'!$D$7*'4、平时成绩'!$D17*0.01+'1、课程目标与考核方式'!$E$7*'4、平时成绩'!$E17*0.01+'1、课程目标与考核方式'!$F$7*'4、平时成绩'!$F17*0.01+'1、课程目标与考核方式'!$G$7*'4、平时成绩'!$G17*0.01)/SUM('1、课程目标与考核方式'!$C$3:$G$3)</f>
        <v>0</v>
      </c>
      <c r="Y17">
        <f ca="1">('1、课程目标与考核方式'!$C$8*'4、平时成绩'!$C17*0.01+'1、课程目标与考核方式'!$D$8*'4、平时成绩'!$D17*0.01+'1、课程目标与考核方式'!$E$8*'4、平时成绩'!$E17*0.01+'1、课程目标与考核方式'!$F$8*'4、平时成绩'!$F17*0.01+'1、课程目标与考核方式'!$G$8*'4、平时成绩'!$G17*0.01)/SUM('1、课程目标与考核方式'!$C$3:$G$3)</f>
        <v>0</v>
      </c>
      <c r="Z17">
        <f ca="1">('1、课程目标与考核方式'!$C$9*'4、平时成绩'!$C17*0.01+'1、课程目标与考核方式'!$D$9*'4、平时成绩'!$D17*0.01+'1、课程目标与考核方式'!$E$9*'4、平时成绩'!$E17*0.01+'1、课程目标与考核方式'!$F$9*'4、平时成绩'!$F17*0.01+'1、课程目标与考核方式'!$G$9*'4、平时成绩'!$G17*0.01)/SUM('1、课程目标与考核方式'!$C$3:$G$3)</f>
        <v>0</v>
      </c>
      <c r="AA17">
        <f ca="1">('1、课程目标与考核方式'!$C$10*'4、平时成绩'!$C17*0.01+'1、课程目标与考核方式'!$D$10*'4、平时成绩'!$D17*0.01+'1、课程目标与考核方式'!$E$10*'4、平时成绩'!$E17*0.01+'1、课程目标与考核方式'!$F$10*'4、平时成绩'!$F17*0.01+'1、课程目标与考核方式'!$G$10*'4、平时成绩'!$G17*0.01)/SUM('1、课程目标与考核方式'!$C$3:$G$3)</f>
        <v>0</v>
      </c>
      <c r="AB17">
        <f>'3、期末成绩'!C17/'2、试卷（期末题目-课程目标）'!$C$2</f>
        <v>0.95</v>
      </c>
      <c r="AC17">
        <f>'3、期末成绩'!D17/'2、试卷（期末题目-课程目标）'!$C$3</f>
        <v>0.95</v>
      </c>
    </row>
    <row r="18" spans="10:29">
      <c r="J18" s="243" t="str">
        <f>IF(ISBLANK('3、期末成绩'!A18)," ",'3、期末成绩'!A18)</f>
        <v>1653118</v>
      </c>
      <c r="K18" s="244" t="str">
        <f>IF(J18=" "," ",VLOOKUP(J18,'3、期末成绩'!$A$2:$B$201,2,FALSE))</f>
        <v>廖章泽</v>
      </c>
      <c r="L18">
        <f ca="1">0.01*(T18*SUM('1、课程目标与考核方式'!$C$13:$G$13)+AB18*'1、课程目标与考核方式'!$H$13)</f>
        <v>0.6898</v>
      </c>
      <c r="M18">
        <f ca="1">0.01*(U18*SUM('1、课程目标与考核方式'!$C$13:$G$13)+AC18*'1、课程目标与考核方式'!$H$13)</f>
        <v>0.6898</v>
      </c>
      <c r="N18">
        <f ca="1">0.01*(V18*SUM('1、课程目标与考核方式'!$C$13:$G$13)+AD18*'1、课程目标与考核方式'!$H$13)</f>
        <v>0.2148</v>
      </c>
      <c r="O18">
        <f ca="1">0.01*(W18*SUM('1、课程目标与考核方式'!$C$13:$G$13)+AE18*'1、课程目标与考核方式'!$H$13)</f>
        <v>0</v>
      </c>
      <c r="P18">
        <f ca="1">0.01*(X18*SUM('1、课程目标与考核方式'!$C$13:$G$13)+AF18*'1、课程目标与考核方式'!$H$13)</f>
        <v>0</v>
      </c>
      <c r="Q18">
        <f ca="1">0.01*(Y18*SUM('1、课程目标与考核方式'!$C$13:$G$13)+AG18*'1、课程目标与考核方式'!$H$13)</f>
        <v>0</v>
      </c>
      <c r="R18">
        <f ca="1">0.01*(Z18*SUM('1、课程目标与考核方式'!$C$13:$G$13)+AH18*'1、课程目标与考核方式'!$H$13)</f>
        <v>0</v>
      </c>
      <c r="S18">
        <f ca="1">0.01*(AA18*SUM('1、课程目标与考核方式'!$C$13:$G$13)+AI18*'1、课程目标与考核方式'!$H$13)</f>
        <v>0</v>
      </c>
      <c r="T18">
        <f ca="1">('1、课程目标与考核方式'!$C$3*'4、平时成绩'!$C18*0.01+'1、课程目标与考核方式'!$D$3*'4、平时成绩'!$D18*0.01+'1、课程目标与考核方式'!$E$3*'4、平时成绩'!$E18*0.01+'1、课程目标与考核方式'!$F$3*'4、平时成绩'!$F18*0.01+'1、课程目标与考核方式'!$G$3*'4、平时成绩'!$G18*0.01)/SUM('1、课程目标与考核方式'!$C$3:$G$3)</f>
        <v>0.795555555555556</v>
      </c>
      <c r="U18">
        <f ca="1">('1、课程目标与考核方式'!$C$4*'4、平时成绩'!$C18*0.01+'1、课程目标与考核方式'!$D$4*'4、平时成绩'!$D18*0.01+'1、课程目标与考核方式'!$E$4*'4、平时成绩'!$E18*0.01+'1、课程目标与考核方式'!$F$4*'4、平时成绩'!$F18*0.01+'1、课程目标与考核方式'!$G$4*'4、平时成绩'!$G18*0.01)/SUM('1、课程目标与考核方式'!$C$3:$G$3)</f>
        <v>0.795555555555556</v>
      </c>
      <c r="V18">
        <f ca="1">('1、课程目标与考核方式'!$C$5*'4、平时成绩'!$C18*0.01+'1、课程目标与考核方式'!$D$5*'4、平时成绩'!$D18*0.01+'1、课程目标与考核方式'!$E$5*'4、平时成绩'!$E18*0.01+'1、课程目标与考核方式'!$F$5*'4、平时成绩'!$F18*0.01+'1、课程目标与考核方式'!$G$5*'4、平时成绩'!$G18*0.01)/SUM('1、课程目标与考核方式'!$C$3:$G$3)</f>
        <v>0.795555555555556</v>
      </c>
      <c r="W18">
        <f ca="1">('1、课程目标与考核方式'!$C$6*'4、平时成绩'!$C18*0.01+'1、课程目标与考核方式'!$D$6*'4、平时成绩'!$D18*0.01+'1、课程目标与考核方式'!$E$6*'4、平时成绩'!$E18*0.01+'1、课程目标与考核方式'!$F$6*'4、平时成绩'!$F18*0.01+'1、课程目标与考核方式'!$G$6*'4、平时成绩'!$G18*0.01)/SUM('1、课程目标与考核方式'!$C$3:$G$3)</f>
        <v>0</v>
      </c>
      <c r="X18">
        <f ca="1">('1、课程目标与考核方式'!$C$7*'4、平时成绩'!$C18*0.01+'1、课程目标与考核方式'!$D$7*'4、平时成绩'!$D18*0.01+'1、课程目标与考核方式'!$E$7*'4、平时成绩'!$E18*0.01+'1、课程目标与考核方式'!$F$7*'4、平时成绩'!$F18*0.01+'1、课程目标与考核方式'!$G$7*'4、平时成绩'!$G18*0.01)/SUM('1、课程目标与考核方式'!$C$3:$G$3)</f>
        <v>0</v>
      </c>
      <c r="Y18">
        <f ca="1">('1、课程目标与考核方式'!$C$8*'4、平时成绩'!$C18*0.01+'1、课程目标与考核方式'!$D$8*'4、平时成绩'!$D18*0.01+'1、课程目标与考核方式'!$E$8*'4、平时成绩'!$E18*0.01+'1、课程目标与考核方式'!$F$8*'4、平时成绩'!$F18*0.01+'1、课程目标与考核方式'!$G$8*'4、平时成绩'!$G18*0.01)/SUM('1、课程目标与考核方式'!$C$3:$G$3)</f>
        <v>0</v>
      </c>
      <c r="Z18">
        <f ca="1">('1、课程目标与考核方式'!$C$9*'4、平时成绩'!$C18*0.01+'1、课程目标与考核方式'!$D$9*'4、平时成绩'!$D18*0.01+'1、课程目标与考核方式'!$E$9*'4、平时成绩'!$E18*0.01+'1、课程目标与考核方式'!$F$9*'4、平时成绩'!$F18*0.01+'1、课程目标与考核方式'!$G$9*'4、平时成绩'!$G18*0.01)/SUM('1、课程目标与考核方式'!$C$3:$G$3)</f>
        <v>0</v>
      </c>
      <c r="AA18">
        <f ca="1">('1、课程目标与考核方式'!$C$10*'4、平时成绩'!$C18*0.01+'1、课程目标与考核方式'!$D$10*'4、平时成绩'!$D18*0.01+'1、课程目标与考核方式'!$E$10*'4、平时成绩'!$E18*0.01+'1、课程目标与考核方式'!$F$10*'4、平时成绩'!$F18*0.01+'1、课程目标与考核方式'!$G$10*'4、平时成绩'!$G18*0.01)/SUM('1、课程目标与考核方式'!$C$3:$G$3)</f>
        <v>0</v>
      </c>
      <c r="AB18">
        <f>'3、期末成绩'!C18/'2、试卷（期末题目-课程目标）'!$C$2</f>
        <v>0.95</v>
      </c>
      <c r="AC18">
        <f>'3、期末成绩'!D18/'2、试卷（期末题目-课程目标）'!$C$3</f>
        <v>0.95</v>
      </c>
    </row>
    <row r="19" spans="10:29">
      <c r="J19" s="243" t="str">
        <f>IF(ISBLANK('3、期末成绩'!A19)," ",'3、期末成绩'!A19)</f>
        <v>1653120</v>
      </c>
      <c r="K19" s="244" t="str">
        <f>IF(J19=" "," ",VLOOKUP(J19,'3、期末成绩'!$A$2:$B$201,2,FALSE))</f>
        <v>汤索</v>
      </c>
      <c r="L19">
        <f ca="1">0.01*(T19*SUM('1、课程目标与考核方式'!$C$13:$G$13)+AB19*'1、课程目标与考核方式'!$H$13)</f>
        <v>0.7297</v>
      </c>
      <c r="M19">
        <f ca="1">0.01*(U19*SUM('1、课程目标与考核方式'!$C$13:$G$13)+AC19*'1、课程目标与考核方式'!$H$13)</f>
        <v>0.7297</v>
      </c>
      <c r="N19">
        <f ca="1">0.01*(V19*SUM('1、课程目标与考核方式'!$C$13:$G$13)+AD19*'1、课程目标与考核方式'!$H$13)</f>
        <v>0.2547</v>
      </c>
      <c r="O19">
        <f ca="1">0.01*(W19*SUM('1、课程目标与考核方式'!$C$13:$G$13)+AE19*'1、课程目标与考核方式'!$H$13)</f>
        <v>0</v>
      </c>
      <c r="P19">
        <f ca="1">0.01*(X19*SUM('1、课程目标与考核方式'!$C$13:$G$13)+AF19*'1、课程目标与考核方式'!$H$13)</f>
        <v>0</v>
      </c>
      <c r="Q19">
        <f ca="1">0.01*(Y19*SUM('1、课程目标与考核方式'!$C$13:$G$13)+AG19*'1、课程目标与考核方式'!$H$13)</f>
        <v>0</v>
      </c>
      <c r="R19">
        <f ca="1">0.01*(Z19*SUM('1、课程目标与考核方式'!$C$13:$G$13)+AH19*'1、课程目标与考核方式'!$H$13)</f>
        <v>0</v>
      </c>
      <c r="S19">
        <f ca="1">0.01*(AA19*SUM('1、课程目标与考核方式'!$C$13:$G$13)+AI19*'1、课程目标与考核方式'!$H$13)</f>
        <v>0</v>
      </c>
      <c r="T19">
        <f ca="1">('1、课程目标与考核方式'!$C$3*'4、平时成绩'!$C19*0.01+'1、课程目标与考核方式'!$D$3*'4、平时成绩'!$D19*0.01+'1、课程目标与考核方式'!$E$3*'4、平时成绩'!$E19*0.01+'1、课程目标与考核方式'!$F$3*'4、平时成绩'!$F19*0.01+'1、课程目标与考核方式'!$G$3*'4、平时成绩'!$G19*0.01)/SUM('1、课程目标与考核方式'!$C$3:$G$3)</f>
        <v>0.943333333333333</v>
      </c>
      <c r="U19">
        <f ca="1">('1、课程目标与考核方式'!$C$4*'4、平时成绩'!$C19*0.01+'1、课程目标与考核方式'!$D$4*'4、平时成绩'!$D19*0.01+'1、课程目标与考核方式'!$E$4*'4、平时成绩'!$E19*0.01+'1、课程目标与考核方式'!$F$4*'4、平时成绩'!$F19*0.01+'1、课程目标与考核方式'!$G$4*'4、平时成绩'!$G19*0.01)/SUM('1、课程目标与考核方式'!$C$3:$G$3)</f>
        <v>0.943333333333333</v>
      </c>
      <c r="V19">
        <f ca="1">('1、课程目标与考核方式'!$C$5*'4、平时成绩'!$C19*0.01+'1、课程目标与考核方式'!$D$5*'4、平时成绩'!$D19*0.01+'1、课程目标与考核方式'!$E$5*'4、平时成绩'!$E19*0.01+'1、课程目标与考核方式'!$F$5*'4、平时成绩'!$F19*0.01+'1、课程目标与考核方式'!$G$5*'4、平时成绩'!$G19*0.01)/SUM('1、课程目标与考核方式'!$C$3:$G$3)</f>
        <v>0.943333333333333</v>
      </c>
      <c r="W19">
        <f ca="1">('1、课程目标与考核方式'!$C$6*'4、平时成绩'!$C19*0.01+'1、课程目标与考核方式'!$D$6*'4、平时成绩'!$D19*0.01+'1、课程目标与考核方式'!$E$6*'4、平时成绩'!$E19*0.01+'1、课程目标与考核方式'!$F$6*'4、平时成绩'!$F19*0.01+'1、课程目标与考核方式'!$G$6*'4、平时成绩'!$G19*0.01)/SUM('1、课程目标与考核方式'!$C$3:$G$3)</f>
        <v>0</v>
      </c>
      <c r="X19">
        <f ca="1">('1、课程目标与考核方式'!$C$7*'4、平时成绩'!$C19*0.01+'1、课程目标与考核方式'!$D$7*'4、平时成绩'!$D19*0.01+'1、课程目标与考核方式'!$E$7*'4、平时成绩'!$E19*0.01+'1、课程目标与考核方式'!$F$7*'4、平时成绩'!$F19*0.01+'1、课程目标与考核方式'!$G$7*'4、平时成绩'!$G19*0.01)/SUM('1、课程目标与考核方式'!$C$3:$G$3)</f>
        <v>0</v>
      </c>
      <c r="Y19">
        <f ca="1">('1、课程目标与考核方式'!$C$8*'4、平时成绩'!$C19*0.01+'1、课程目标与考核方式'!$D$8*'4、平时成绩'!$D19*0.01+'1、课程目标与考核方式'!$E$8*'4、平时成绩'!$E19*0.01+'1、课程目标与考核方式'!$F$8*'4、平时成绩'!$F19*0.01+'1、课程目标与考核方式'!$G$8*'4、平时成绩'!$G19*0.01)/SUM('1、课程目标与考核方式'!$C$3:$G$3)</f>
        <v>0</v>
      </c>
      <c r="Z19">
        <f ca="1">('1、课程目标与考核方式'!$C$9*'4、平时成绩'!$C19*0.01+'1、课程目标与考核方式'!$D$9*'4、平时成绩'!$D19*0.01+'1、课程目标与考核方式'!$E$9*'4、平时成绩'!$E19*0.01+'1、课程目标与考核方式'!$F$9*'4、平时成绩'!$F19*0.01+'1、课程目标与考核方式'!$G$9*'4、平时成绩'!$G19*0.01)/SUM('1、课程目标与考核方式'!$C$3:$G$3)</f>
        <v>0</v>
      </c>
      <c r="AA19">
        <f ca="1">('1、课程目标与考核方式'!$C$10*'4、平时成绩'!$C19*0.01+'1、课程目标与考核方式'!$D$10*'4、平时成绩'!$D19*0.01+'1、课程目标与考核方式'!$E$10*'4、平时成绩'!$E19*0.01+'1、课程目标与考核方式'!$F$10*'4、平时成绩'!$F19*0.01+'1、课程目标与考核方式'!$G$10*'4、平时成绩'!$G19*0.01)/SUM('1、课程目标与考核方式'!$C$3:$G$3)</f>
        <v>0</v>
      </c>
      <c r="AB19">
        <f>'3、期末成绩'!C19/'2、试卷（期末题目-课程目标）'!$C$2</f>
        <v>0.95</v>
      </c>
      <c r="AC19">
        <f>'3、期末成绩'!D19/'2、试卷（期末题目-课程目标）'!$C$3</f>
        <v>0.95</v>
      </c>
    </row>
    <row r="20" spans="10:29">
      <c r="J20" s="243" t="str">
        <f>IF(ISBLANK('3、期末成绩'!A20)," ",'3、期末成绩'!A20)</f>
        <v>1653121</v>
      </c>
      <c r="K20" s="244" t="str">
        <f>IF(J20=" "," ",VLOOKUP(J20,'3、期末成绩'!$A$2:$B$201,2,FALSE))</f>
        <v>刘强慧</v>
      </c>
      <c r="L20">
        <f ca="1">0.01*(T20*SUM('1、课程目标与考核方式'!$C$13:$G$13)+AB20*'1、课程目标与考核方式'!$H$13)</f>
        <v>0.6868</v>
      </c>
      <c r="M20">
        <f ca="1">0.01*(U20*SUM('1、课程目标与考核方式'!$C$13:$G$13)+AC20*'1、课程目标与考核方式'!$H$13)</f>
        <v>0.6868</v>
      </c>
      <c r="N20">
        <f ca="1">0.01*(V20*SUM('1、课程目标与考核方式'!$C$13:$G$13)+AD20*'1、课程目标与考核方式'!$H$13)</f>
        <v>0.2118</v>
      </c>
      <c r="O20">
        <f ca="1">0.01*(W20*SUM('1、课程目标与考核方式'!$C$13:$G$13)+AE20*'1、课程目标与考核方式'!$H$13)</f>
        <v>0</v>
      </c>
      <c r="P20">
        <f ca="1">0.01*(X20*SUM('1、课程目标与考核方式'!$C$13:$G$13)+AF20*'1、课程目标与考核方式'!$H$13)</f>
        <v>0</v>
      </c>
      <c r="Q20">
        <f ca="1">0.01*(Y20*SUM('1、课程目标与考核方式'!$C$13:$G$13)+AG20*'1、课程目标与考核方式'!$H$13)</f>
        <v>0</v>
      </c>
      <c r="R20">
        <f ca="1">0.01*(Z20*SUM('1、课程目标与考核方式'!$C$13:$G$13)+AH20*'1、课程目标与考核方式'!$H$13)</f>
        <v>0</v>
      </c>
      <c r="S20">
        <f ca="1">0.01*(AA20*SUM('1、课程目标与考核方式'!$C$13:$G$13)+AI20*'1、课程目标与考核方式'!$H$13)</f>
        <v>0</v>
      </c>
      <c r="T20">
        <f ca="1">('1、课程目标与考核方式'!$C$3*'4、平时成绩'!$C20*0.01+'1、课程目标与考核方式'!$D$3*'4、平时成绩'!$D20*0.01+'1、课程目标与考核方式'!$E$3*'4、平时成绩'!$E20*0.01+'1、课程目标与考核方式'!$F$3*'4、平时成绩'!$F20*0.01+'1、课程目标与考核方式'!$G$3*'4、平时成绩'!$G20*0.01)/SUM('1、课程目标与考核方式'!$C$3:$G$3)</f>
        <v>0.784444444444444</v>
      </c>
      <c r="U20">
        <f ca="1">('1、课程目标与考核方式'!$C$4*'4、平时成绩'!$C20*0.01+'1、课程目标与考核方式'!$D$4*'4、平时成绩'!$D20*0.01+'1、课程目标与考核方式'!$E$4*'4、平时成绩'!$E20*0.01+'1、课程目标与考核方式'!$F$4*'4、平时成绩'!$F20*0.01+'1、课程目标与考核方式'!$G$4*'4、平时成绩'!$G20*0.01)/SUM('1、课程目标与考核方式'!$C$3:$G$3)</f>
        <v>0.784444444444444</v>
      </c>
      <c r="V20">
        <f ca="1">('1、课程目标与考核方式'!$C$5*'4、平时成绩'!$C20*0.01+'1、课程目标与考核方式'!$D$5*'4、平时成绩'!$D20*0.01+'1、课程目标与考核方式'!$E$5*'4、平时成绩'!$E20*0.01+'1、课程目标与考核方式'!$F$5*'4、平时成绩'!$F20*0.01+'1、课程目标与考核方式'!$G$5*'4、平时成绩'!$G20*0.01)/SUM('1、课程目标与考核方式'!$C$3:$G$3)</f>
        <v>0.784444444444444</v>
      </c>
      <c r="W20">
        <f ca="1">('1、课程目标与考核方式'!$C$6*'4、平时成绩'!$C20*0.01+'1、课程目标与考核方式'!$D$6*'4、平时成绩'!$D20*0.01+'1、课程目标与考核方式'!$E$6*'4、平时成绩'!$E20*0.01+'1、课程目标与考核方式'!$F$6*'4、平时成绩'!$F20*0.01+'1、课程目标与考核方式'!$G$6*'4、平时成绩'!$G20*0.01)/SUM('1、课程目标与考核方式'!$C$3:$G$3)</f>
        <v>0</v>
      </c>
      <c r="X20">
        <f ca="1">('1、课程目标与考核方式'!$C$7*'4、平时成绩'!$C20*0.01+'1、课程目标与考核方式'!$D$7*'4、平时成绩'!$D20*0.01+'1、课程目标与考核方式'!$E$7*'4、平时成绩'!$E20*0.01+'1、课程目标与考核方式'!$F$7*'4、平时成绩'!$F20*0.01+'1、课程目标与考核方式'!$G$7*'4、平时成绩'!$G20*0.01)/SUM('1、课程目标与考核方式'!$C$3:$G$3)</f>
        <v>0</v>
      </c>
      <c r="Y20">
        <f ca="1">('1、课程目标与考核方式'!$C$8*'4、平时成绩'!$C20*0.01+'1、课程目标与考核方式'!$D$8*'4、平时成绩'!$D20*0.01+'1、课程目标与考核方式'!$E$8*'4、平时成绩'!$E20*0.01+'1、课程目标与考核方式'!$F$8*'4、平时成绩'!$F20*0.01+'1、课程目标与考核方式'!$G$8*'4、平时成绩'!$G20*0.01)/SUM('1、课程目标与考核方式'!$C$3:$G$3)</f>
        <v>0</v>
      </c>
      <c r="Z20">
        <f ca="1">('1、课程目标与考核方式'!$C$9*'4、平时成绩'!$C20*0.01+'1、课程目标与考核方式'!$D$9*'4、平时成绩'!$D20*0.01+'1、课程目标与考核方式'!$E$9*'4、平时成绩'!$E20*0.01+'1、课程目标与考核方式'!$F$9*'4、平时成绩'!$F20*0.01+'1、课程目标与考核方式'!$G$9*'4、平时成绩'!$G20*0.01)/SUM('1、课程目标与考核方式'!$C$3:$G$3)</f>
        <v>0</v>
      </c>
      <c r="AA20">
        <f ca="1">('1、课程目标与考核方式'!$C$10*'4、平时成绩'!$C20*0.01+'1、课程目标与考核方式'!$D$10*'4、平时成绩'!$D20*0.01+'1、课程目标与考核方式'!$E$10*'4、平时成绩'!$E20*0.01+'1、课程目标与考核方式'!$F$10*'4、平时成绩'!$F20*0.01+'1、课程目标与考核方式'!$G$10*'4、平时成绩'!$G20*0.01)/SUM('1、课程目标与考核方式'!$C$3:$G$3)</f>
        <v>0</v>
      </c>
      <c r="AB20">
        <f>'3、期末成绩'!C20/'2、试卷（期末题目-课程目标）'!$C$2</f>
        <v>0.95</v>
      </c>
      <c r="AC20">
        <f>'3、期末成绩'!D20/'2、试卷（期末题目-课程目标）'!$C$3</f>
        <v>0.95</v>
      </c>
    </row>
    <row r="21" spans="10:29">
      <c r="J21" s="243" t="str">
        <f>IF(ISBLANK('3、期末成绩'!A21)," ",'3、期末成绩'!A21)</f>
        <v>1653122</v>
      </c>
      <c r="K21" s="244" t="str">
        <f>IF(J21=" "," ",VLOOKUP(J21,'3、期末成绩'!$A$2:$B$201,2,FALSE))</f>
        <v>陈瑞</v>
      </c>
      <c r="L21">
        <f ca="1">0.01*(T21*SUM('1、课程目标与考核方式'!$C$13:$G$13)+AB21*'1、课程目标与考核方式'!$H$13)</f>
        <v>0.6517</v>
      </c>
      <c r="M21">
        <f ca="1">0.01*(U21*SUM('1、课程目标与考核方式'!$C$13:$G$13)+AC21*'1、课程目标与考核方式'!$H$13)</f>
        <v>0.6517</v>
      </c>
      <c r="N21">
        <f ca="1">0.01*(V21*SUM('1、课程目标与考核方式'!$C$13:$G$13)+AD21*'1、课程目标与考核方式'!$H$13)</f>
        <v>0.1767</v>
      </c>
      <c r="O21">
        <f ca="1">0.01*(W21*SUM('1、课程目标与考核方式'!$C$13:$G$13)+AE21*'1、课程目标与考核方式'!$H$13)</f>
        <v>0</v>
      </c>
      <c r="P21">
        <f ca="1">0.01*(X21*SUM('1、课程目标与考核方式'!$C$13:$G$13)+AF21*'1、课程目标与考核方式'!$H$13)</f>
        <v>0</v>
      </c>
      <c r="Q21">
        <f ca="1">0.01*(Y21*SUM('1、课程目标与考核方式'!$C$13:$G$13)+AG21*'1、课程目标与考核方式'!$H$13)</f>
        <v>0</v>
      </c>
      <c r="R21">
        <f ca="1">0.01*(Z21*SUM('1、课程目标与考核方式'!$C$13:$G$13)+AH21*'1、课程目标与考核方式'!$H$13)</f>
        <v>0</v>
      </c>
      <c r="S21">
        <f ca="1">0.01*(AA21*SUM('1、课程目标与考核方式'!$C$13:$G$13)+AI21*'1、课程目标与考核方式'!$H$13)</f>
        <v>0</v>
      </c>
      <c r="T21">
        <f ca="1">('1、课程目标与考核方式'!$C$3*'4、平时成绩'!$C21*0.01+'1、课程目标与考核方式'!$D$3*'4、平时成绩'!$D21*0.01+'1、课程目标与考核方式'!$E$3*'4、平时成绩'!$E21*0.01+'1、课程目标与考核方式'!$F$3*'4、平时成绩'!$F21*0.01+'1、课程目标与考核方式'!$G$3*'4、平时成绩'!$G21*0.01)/SUM('1、课程目标与考核方式'!$C$3:$G$3)</f>
        <v>0.654444444444444</v>
      </c>
      <c r="U21">
        <f ca="1">('1、课程目标与考核方式'!$C$4*'4、平时成绩'!$C21*0.01+'1、课程目标与考核方式'!$D$4*'4、平时成绩'!$D21*0.01+'1、课程目标与考核方式'!$E$4*'4、平时成绩'!$E21*0.01+'1、课程目标与考核方式'!$F$4*'4、平时成绩'!$F21*0.01+'1、课程目标与考核方式'!$G$4*'4、平时成绩'!$G21*0.01)/SUM('1、课程目标与考核方式'!$C$3:$G$3)</f>
        <v>0.654444444444444</v>
      </c>
      <c r="V21">
        <f ca="1">('1、课程目标与考核方式'!$C$5*'4、平时成绩'!$C21*0.01+'1、课程目标与考核方式'!$D$5*'4、平时成绩'!$D21*0.01+'1、课程目标与考核方式'!$E$5*'4、平时成绩'!$E21*0.01+'1、课程目标与考核方式'!$F$5*'4、平时成绩'!$F21*0.01+'1、课程目标与考核方式'!$G$5*'4、平时成绩'!$G21*0.01)/SUM('1、课程目标与考核方式'!$C$3:$G$3)</f>
        <v>0.654444444444444</v>
      </c>
      <c r="W21">
        <f ca="1">('1、课程目标与考核方式'!$C$6*'4、平时成绩'!$C21*0.01+'1、课程目标与考核方式'!$D$6*'4、平时成绩'!$D21*0.01+'1、课程目标与考核方式'!$E$6*'4、平时成绩'!$E21*0.01+'1、课程目标与考核方式'!$F$6*'4、平时成绩'!$F21*0.01+'1、课程目标与考核方式'!$G$6*'4、平时成绩'!$G21*0.01)/SUM('1、课程目标与考核方式'!$C$3:$G$3)</f>
        <v>0</v>
      </c>
      <c r="X21">
        <f ca="1">('1、课程目标与考核方式'!$C$7*'4、平时成绩'!$C21*0.01+'1、课程目标与考核方式'!$D$7*'4、平时成绩'!$D21*0.01+'1、课程目标与考核方式'!$E$7*'4、平时成绩'!$E21*0.01+'1、课程目标与考核方式'!$F$7*'4、平时成绩'!$F21*0.01+'1、课程目标与考核方式'!$G$7*'4、平时成绩'!$G21*0.01)/SUM('1、课程目标与考核方式'!$C$3:$G$3)</f>
        <v>0</v>
      </c>
      <c r="Y21">
        <f ca="1">('1、课程目标与考核方式'!$C$8*'4、平时成绩'!$C21*0.01+'1、课程目标与考核方式'!$D$8*'4、平时成绩'!$D21*0.01+'1、课程目标与考核方式'!$E$8*'4、平时成绩'!$E21*0.01+'1、课程目标与考核方式'!$F$8*'4、平时成绩'!$F21*0.01+'1、课程目标与考核方式'!$G$8*'4、平时成绩'!$G21*0.01)/SUM('1、课程目标与考核方式'!$C$3:$G$3)</f>
        <v>0</v>
      </c>
      <c r="Z21">
        <f ca="1">('1、课程目标与考核方式'!$C$9*'4、平时成绩'!$C21*0.01+'1、课程目标与考核方式'!$D$9*'4、平时成绩'!$D21*0.01+'1、课程目标与考核方式'!$E$9*'4、平时成绩'!$E21*0.01+'1、课程目标与考核方式'!$F$9*'4、平时成绩'!$F21*0.01+'1、课程目标与考核方式'!$G$9*'4、平时成绩'!$G21*0.01)/SUM('1、课程目标与考核方式'!$C$3:$G$3)</f>
        <v>0</v>
      </c>
      <c r="AA21">
        <f ca="1">('1、课程目标与考核方式'!$C$10*'4、平时成绩'!$C21*0.01+'1、课程目标与考核方式'!$D$10*'4、平时成绩'!$D21*0.01+'1、课程目标与考核方式'!$E$10*'4、平时成绩'!$E21*0.01+'1、课程目标与考核方式'!$F$10*'4、平时成绩'!$F21*0.01+'1、课程目标与考核方式'!$G$10*'4、平时成绩'!$G21*0.01)/SUM('1、课程目标与考核方式'!$C$3:$G$3)</f>
        <v>0</v>
      </c>
      <c r="AB21">
        <f>'3、期末成绩'!C21/'2、试卷（期末题目-课程目标）'!$C$2</f>
        <v>0.95</v>
      </c>
      <c r="AC21">
        <f>'3、期末成绩'!D21/'2、试卷（期末题目-课程目标）'!$C$3</f>
        <v>0.95</v>
      </c>
    </row>
    <row r="22" spans="10:29">
      <c r="J22" s="243" t="str">
        <f>IF(ISBLANK('3、期末成绩'!A22)," ",'3、期末成绩'!A22)</f>
        <v>1653123</v>
      </c>
      <c r="K22" s="244" t="str">
        <f>IF(J22=" "," ",VLOOKUP(J22,'3、期末成绩'!$A$2:$B$201,2,FALSE))</f>
        <v>苏同</v>
      </c>
      <c r="L22">
        <f ca="1">0.01*(T22*SUM('1、课程目标与考核方式'!$C$13:$G$13)+AB22*'1、课程目标与考核方式'!$H$13)</f>
        <v>0.7246</v>
      </c>
      <c r="M22">
        <f ca="1">0.01*(U22*SUM('1、课程目标与考核方式'!$C$13:$G$13)+AC22*'1、课程目标与考核方式'!$H$13)</f>
        <v>0.7246</v>
      </c>
      <c r="N22">
        <f ca="1">0.01*(V22*SUM('1、课程目标与考核方式'!$C$13:$G$13)+AD22*'1、课程目标与考核方式'!$H$13)</f>
        <v>0.2496</v>
      </c>
      <c r="O22">
        <f ca="1">0.01*(W22*SUM('1、课程目标与考核方式'!$C$13:$G$13)+AE22*'1、课程目标与考核方式'!$H$13)</f>
        <v>0</v>
      </c>
      <c r="P22">
        <f ca="1">0.01*(X22*SUM('1、课程目标与考核方式'!$C$13:$G$13)+AF22*'1、课程目标与考核方式'!$H$13)</f>
        <v>0</v>
      </c>
      <c r="Q22">
        <f ca="1">0.01*(Y22*SUM('1、课程目标与考核方式'!$C$13:$G$13)+AG22*'1、课程目标与考核方式'!$H$13)</f>
        <v>0</v>
      </c>
      <c r="R22">
        <f ca="1">0.01*(Z22*SUM('1、课程目标与考核方式'!$C$13:$G$13)+AH22*'1、课程目标与考核方式'!$H$13)</f>
        <v>0</v>
      </c>
      <c r="S22">
        <f ca="1">0.01*(AA22*SUM('1、课程目标与考核方式'!$C$13:$G$13)+AI22*'1、课程目标与考核方式'!$H$13)</f>
        <v>0</v>
      </c>
      <c r="T22">
        <f ca="1">('1、课程目标与考核方式'!$C$3*'4、平时成绩'!$C22*0.01+'1、课程目标与考核方式'!$D$3*'4、平时成绩'!$D22*0.01+'1、课程目标与考核方式'!$E$3*'4、平时成绩'!$E22*0.01+'1、课程目标与考核方式'!$F$3*'4、平时成绩'!$F22*0.01+'1、课程目标与考核方式'!$G$3*'4、平时成绩'!$G22*0.01)/SUM('1、课程目标与考核方式'!$C$3:$G$3)</f>
        <v>0.924444444444445</v>
      </c>
      <c r="U22">
        <f ca="1">('1、课程目标与考核方式'!$C$4*'4、平时成绩'!$C22*0.01+'1、课程目标与考核方式'!$D$4*'4、平时成绩'!$D22*0.01+'1、课程目标与考核方式'!$E$4*'4、平时成绩'!$E22*0.01+'1、课程目标与考核方式'!$F$4*'4、平时成绩'!$F22*0.01+'1、课程目标与考核方式'!$G$4*'4、平时成绩'!$G22*0.01)/SUM('1、课程目标与考核方式'!$C$3:$G$3)</f>
        <v>0.924444444444445</v>
      </c>
      <c r="V22">
        <f ca="1">('1、课程目标与考核方式'!$C$5*'4、平时成绩'!$C22*0.01+'1、课程目标与考核方式'!$D$5*'4、平时成绩'!$D22*0.01+'1、课程目标与考核方式'!$E$5*'4、平时成绩'!$E22*0.01+'1、课程目标与考核方式'!$F$5*'4、平时成绩'!$F22*0.01+'1、课程目标与考核方式'!$G$5*'4、平时成绩'!$G22*0.01)/SUM('1、课程目标与考核方式'!$C$3:$G$3)</f>
        <v>0.924444444444445</v>
      </c>
      <c r="W22">
        <f ca="1">('1、课程目标与考核方式'!$C$6*'4、平时成绩'!$C22*0.01+'1、课程目标与考核方式'!$D$6*'4、平时成绩'!$D22*0.01+'1、课程目标与考核方式'!$E$6*'4、平时成绩'!$E22*0.01+'1、课程目标与考核方式'!$F$6*'4、平时成绩'!$F22*0.01+'1、课程目标与考核方式'!$G$6*'4、平时成绩'!$G22*0.01)/SUM('1、课程目标与考核方式'!$C$3:$G$3)</f>
        <v>0</v>
      </c>
      <c r="X22">
        <f ca="1">('1、课程目标与考核方式'!$C$7*'4、平时成绩'!$C22*0.01+'1、课程目标与考核方式'!$D$7*'4、平时成绩'!$D22*0.01+'1、课程目标与考核方式'!$E$7*'4、平时成绩'!$E22*0.01+'1、课程目标与考核方式'!$F$7*'4、平时成绩'!$F22*0.01+'1、课程目标与考核方式'!$G$7*'4、平时成绩'!$G22*0.01)/SUM('1、课程目标与考核方式'!$C$3:$G$3)</f>
        <v>0</v>
      </c>
      <c r="Y22">
        <f ca="1">('1、课程目标与考核方式'!$C$8*'4、平时成绩'!$C22*0.01+'1、课程目标与考核方式'!$D$8*'4、平时成绩'!$D22*0.01+'1、课程目标与考核方式'!$E$8*'4、平时成绩'!$E22*0.01+'1、课程目标与考核方式'!$F$8*'4、平时成绩'!$F22*0.01+'1、课程目标与考核方式'!$G$8*'4、平时成绩'!$G22*0.01)/SUM('1、课程目标与考核方式'!$C$3:$G$3)</f>
        <v>0</v>
      </c>
      <c r="Z22">
        <f ca="1">('1、课程目标与考核方式'!$C$9*'4、平时成绩'!$C22*0.01+'1、课程目标与考核方式'!$D$9*'4、平时成绩'!$D22*0.01+'1、课程目标与考核方式'!$E$9*'4、平时成绩'!$E22*0.01+'1、课程目标与考核方式'!$F$9*'4、平时成绩'!$F22*0.01+'1、课程目标与考核方式'!$G$9*'4、平时成绩'!$G22*0.01)/SUM('1、课程目标与考核方式'!$C$3:$G$3)</f>
        <v>0</v>
      </c>
      <c r="AA22">
        <f ca="1">('1、课程目标与考核方式'!$C$10*'4、平时成绩'!$C22*0.01+'1、课程目标与考核方式'!$D$10*'4、平时成绩'!$D22*0.01+'1、课程目标与考核方式'!$E$10*'4、平时成绩'!$E22*0.01+'1、课程目标与考核方式'!$F$10*'4、平时成绩'!$F22*0.01+'1、课程目标与考核方式'!$G$10*'4、平时成绩'!$G22*0.01)/SUM('1、课程目标与考核方式'!$C$3:$G$3)</f>
        <v>0</v>
      </c>
      <c r="AB22">
        <f>'3、期末成绩'!C22/'2、试卷（期末题目-课程目标）'!$C$2</f>
        <v>0.95</v>
      </c>
      <c r="AC22">
        <f>'3、期末成绩'!D22/'2、试卷（期末题目-课程目标）'!$C$3</f>
        <v>0.95</v>
      </c>
    </row>
    <row r="23" spans="10:29">
      <c r="J23" s="243" t="str">
        <f>IF(ISBLANK('3、期末成绩'!A23)," ",'3、期末成绩'!A23)</f>
        <v>1653124</v>
      </c>
      <c r="K23" s="244" t="str">
        <f>IF(J23=" "," ",VLOOKUP(J23,'3、期末成绩'!$A$2:$B$201,2,FALSE))</f>
        <v>卢嘉杰</v>
      </c>
      <c r="L23">
        <f ca="1">0.01*(T23*SUM('1、课程目标与考核方式'!$C$13:$G$13)+AB23*'1、课程目标与考核方式'!$H$13)</f>
        <v>0.6526</v>
      </c>
      <c r="M23">
        <f ca="1">0.01*(U23*SUM('1、课程目标与考核方式'!$C$13:$G$13)+AC23*'1、课程目标与考核方式'!$H$13)</f>
        <v>0.6526</v>
      </c>
      <c r="N23">
        <f ca="1">0.01*(V23*SUM('1、课程目标与考核方式'!$C$13:$G$13)+AD23*'1、课程目标与考核方式'!$H$13)</f>
        <v>0.1776</v>
      </c>
      <c r="O23">
        <f ca="1">0.01*(W23*SUM('1、课程目标与考核方式'!$C$13:$G$13)+AE23*'1、课程目标与考核方式'!$H$13)</f>
        <v>0</v>
      </c>
      <c r="P23">
        <f ca="1">0.01*(X23*SUM('1、课程目标与考核方式'!$C$13:$G$13)+AF23*'1、课程目标与考核方式'!$H$13)</f>
        <v>0</v>
      </c>
      <c r="Q23">
        <f ca="1">0.01*(Y23*SUM('1、课程目标与考核方式'!$C$13:$G$13)+AG23*'1、课程目标与考核方式'!$H$13)</f>
        <v>0</v>
      </c>
      <c r="R23">
        <f ca="1">0.01*(Z23*SUM('1、课程目标与考核方式'!$C$13:$G$13)+AH23*'1、课程目标与考核方式'!$H$13)</f>
        <v>0</v>
      </c>
      <c r="S23">
        <f ca="1">0.01*(AA23*SUM('1、课程目标与考核方式'!$C$13:$G$13)+AI23*'1、课程目标与考核方式'!$H$13)</f>
        <v>0</v>
      </c>
      <c r="T23">
        <f ca="1">('1、课程目标与考核方式'!$C$3*'4、平时成绩'!$C23*0.01+'1、课程目标与考核方式'!$D$3*'4、平时成绩'!$D23*0.01+'1、课程目标与考核方式'!$E$3*'4、平时成绩'!$E23*0.01+'1、课程目标与考核方式'!$F$3*'4、平时成绩'!$F23*0.01+'1、课程目标与考核方式'!$G$3*'4、平时成绩'!$G23*0.01)/SUM('1、课程目标与考核方式'!$C$3:$G$3)</f>
        <v>0.657777777777778</v>
      </c>
      <c r="U23">
        <f ca="1">('1、课程目标与考核方式'!$C$4*'4、平时成绩'!$C23*0.01+'1、课程目标与考核方式'!$D$4*'4、平时成绩'!$D23*0.01+'1、课程目标与考核方式'!$E$4*'4、平时成绩'!$E23*0.01+'1、课程目标与考核方式'!$F$4*'4、平时成绩'!$F23*0.01+'1、课程目标与考核方式'!$G$4*'4、平时成绩'!$G23*0.01)/SUM('1、课程目标与考核方式'!$C$3:$G$3)</f>
        <v>0.657777777777778</v>
      </c>
      <c r="V23">
        <f ca="1">('1、课程目标与考核方式'!$C$5*'4、平时成绩'!$C23*0.01+'1、课程目标与考核方式'!$D$5*'4、平时成绩'!$D23*0.01+'1、课程目标与考核方式'!$E$5*'4、平时成绩'!$E23*0.01+'1、课程目标与考核方式'!$F$5*'4、平时成绩'!$F23*0.01+'1、课程目标与考核方式'!$G$5*'4、平时成绩'!$G23*0.01)/SUM('1、课程目标与考核方式'!$C$3:$G$3)</f>
        <v>0.657777777777778</v>
      </c>
      <c r="W23">
        <f ca="1">('1、课程目标与考核方式'!$C$6*'4、平时成绩'!$C23*0.01+'1、课程目标与考核方式'!$D$6*'4、平时成绩'!$D23*0.01+'1、课程目标与考核方式'!$E$6*'4、平时成绩'!$E23*0.01+'1、课程目标与考核方式'!$F$6*'4、平时成绩'!$F23*0.01+'1、课程目标与考核方式'!$G$6*'4、平时成绩'!$G23*0.01)/SUM('1、课程目标与考核方式'!$C$3:$G$3)</f>
        <v>0</v>
      </c>
      <c r="X23">
        <f ca="1">('1、课程目标与考核方式'!$C$7*'4、平时成绩'!$C23*0.01+'1、课程目标与考核方式'!$D$7*'4、平时成绩'!$D23*0.01+'1、课程目标与考核方式'!$E$7*'4、平时成绩'!$E23*0.01+'1、课程目标与考核方式'!$F$7*'4、平时成绩'!$F23*0.01+'1、课程目标与考核方式'!$G$7*'4、平时成绩'!$G23*0.01)/SUM('1、课程目标与考核方式'!$C$3:$G$3)</f>
        <v>0</v>
      </c>
      <c r="Y23">
        <f ca="1">('1、课程目标与考核方式'!$C$8*'4、平时成绩'!$C23*0.01+'1、课程目标与考核方式'!$D$8*'4、平时成绩'!$D23*0.01+'1、课程目标与考核方式'!$E$8*'4、平时成绩'!$E23*0.01+'1、课程目标与考核方式'!$F$8*'4、平时成绩'!$F23*0.01+'1、课程目标与考核方式'!$G$8*'4、平时成绩'!$G23*0.01)/SUM('1、课程目标与考核方式'!$C$3:$G$3)</f>
        <v>0</v>
      </c>
      <c r="Z23">
        <f ca="1">('1、课程目标与考核方式'!$C$9*'4、平时成绩'!$C23*0.01+'1、课程目标与考核方式'!$D$9*'4、平时成绩'!$D23*0.01+'1、课程目标与考核方式'!$E$9*'4、平时成绩'!$E23*0.01+'1、课程目标与考核方式'!$F$9*'4、平时成绩'!$F23*0.01+'1、课程目标与考核方式'!$G$9*'4、平时成绩'!$G23*0.01)/SUM('1、课程目标与考核方式'!$C$3:$G$3)</f>
        <v>0</v>
      </c>
      <c r="AA23">
        <f ca="1">('1、课程目标与考核方式'!$C$10*'4、平时成绩'!$C23*0.01+'1、课程目标与考核方式'!$D$10*'4、平时成绩'!$D23*0.01+'1、课程目标与考核方式'!$E$10*'4、平时成绩'!$E23*0.01+'1、课程目标与考核方式'!$F$10*'4、平时成绩'!$F23*0.01+'1、课程目标与考核方式'!$G$10*'4、平时成绩'!$G23*0.01)/SUM('1、课程目标与考核方式'!$C$3:$G$3)</f>
        <v>0</v>
      </c>
      <c r="AB23">
        <f>'3、期末成绩'!C23/'2、试卷（期末题目-课程目标）'!$C$2</f>
        <v>0.95</v>
      </c>
      <c r="AC23">
        <f>'3、期末成绩'!D23/'2、试卷（期末题目-课程目标）'!$C$3</f>
        <v>0.95</v>
      </c>
    </row>
    <row r="24" spans="10:29">
      <c r="J24" s="243" t="str">
        <f>IF(ISBLANK('3、期末成绩'!A24)," ",'3、期末成绩'!A24)</f>
        <v>1653125</v>
      </c>
      <c r="K24" s="244" t="str">
        <f>IF(J24=" "," ",VLOOKUP(J24,'3、期末成绩'!$A$2:$B$201,2,FALSE))</f>
        <v>张泽铭</v>
      </c>
      <c r="L24">
        <f ca="1">0.01*(T24*SUM('1、课程目标与考核方式'!$C$13:$G$13)+AB24*'1、课程目标与考核方式'!$H$13)</f>
        <v>0.679</v>
      </c>
      <c r="M24">
        <f ca="1">0.01*(U24*SUM('1、课程目标与考核方式'!$C$13:$G$13)+AC24*'1、课程目标与考核方式'!$H$13)</f>
        <v>0.679</v>
      </c>
      <c r="N24">
        <f ca="1">0.01*(V24*SUM('1、课程目标与考核方式'!$C$13:$G$13)+AD24*'1、课程目标与考核方式'!$H$13)</f>
        <v>0.204</v>
      </c>
      <c r="O24">
        <f ca="1">0.01*(W24*SUM('1、课程目标与考核方式'!$C$13:$G$13)+AE24*'1、课程目标与考核方式'!$H$13)</f>
        <v>0</v>
      </c>
      <c r="P24">
        <f ca="1">0.01*(X24*SUM('1、课程目标与考核方式'!$C$13:$G$13)+AF24*'1、课程目标与考核方式'!$H$13)</f>
        <v>0</v>
      </c>
      <c r="Q24">
        <f ca="1">0.01*(Y24*SUM('1、课程目标与考核方式'!$C$13:$G$13)+AG24*'1、课程目标与考核方式'!$H$13)</f>
        <v>0</v>
      </c>
      <c r="R24">
        <f ca="1">0.01*(Z24*SUM('1、课程目标与考核方式'!$C$13:$G$13)+AH24*'1、课程目标与考核方式'!$H$13)</f>
        <v>0</v>
      </c>
      <c r="S24">
        <f ca="1">0.01*(AA24*SUM('1、课程目标与考核方式'!$C$13:$G$13)+AI24*'1、课程目标与考核方式'!$H$13)</f>
        <v>0</v>
      </c>
      <c r="T24">
        <f ca="1">('1、课程目标与考核方式'!$C$3*'4、平时成绩'!$C24*0.01+'1、课程目标与考核方式'!$D$3*'4、平时成绩'!$D24*0.01+'1、课程目标与考核方式'!$E$3*'4、平时成绩'!$E24*0.01+'1、课程目标与考核方式'!$F$3*'4、平时成绩'!$F24*0.01+'1、课程目标与考核方式'!$G$3*'4、平时成绩'!$G24*0.01)/SUM('1、课程目标与考核方式'!$C$3:$G$3)</f>
        <v>0.755555555555556</v>
      </c>
      <c r="U24">
        <f ca="1">('1、课程目标与考核方式'!$C$4*'4、平时成绩'!$C24*0.01+'1、课程目标与考核方式'!$D$4*'4、平时成绩'!$D24*0.01+'1、课程目标与考核方式'!$E$4*'4、平时成绩'!$E24*0.01+'1、课程目标与考核方式'!$F$4*'4、平时成绩'!$F24*0.01+'1、课程目标与考核方式'!$G$4*'4、平时成绩'!$G24*0.01)/SUM('1、课程目标与考核方式'!$C$3:$G$3)</f>
        <v>0.755555555555556</v>
      </c>
      <c r="V24">
        <f ca="1">('1、课程目标与考核方式'!$C$5*'4、平时成绩'!$C24*0.01+'1、课程目标与考核方式'!$D$5*'4、平时成绩'!$D24*0.01+'1、课程目标与考核方式'!$E$5*'4、平时成绩'!$E24*0.01+'1、课程目标与考核方式'!$F$5*'4、平时成绩'!$F24*0.01+'1、课程目标与考核方式'!$G$5*'4、平时成绩'!$G24*0.01)/SUM('1、课程目标与考核方式'!$C$3:$G$3)</f>
        <v>0.755555555555556</v>
      </c>
      <c r="W24">
        <f ca="1">('1、课程目标与考核方式'!$C$6*'4、平时成绩'!$C24*0.01+'1、课程目标与考核方式'!$D$6*'4、平时成绩'!$D24*0.01+'1、课程目标与考核方式'!$E$6*'4、平时成绩'!$E24*0.01+'1、课程目标与考核方式'!$F$6*'4、平时成绩'!$F24*0.01+'1、课程目标与考核方式'!$G$6*'4、平时成绩'!$G24*0.01)/SUM('1、课程目标与考核方式'!$C$3:$G$3)</f>
        <v>0</v>
      </c>
      <c r="X24">
        <f ca="1">('1、课程目标与考核方式'!$C$7*'4、平时成绩'!$C24*0.01+'1、课程目标与考核方式'!$D$7*'4、平时成绩'!$D24*0.01+'1、课程目标与考核方式'!$E$7*'4、平时成绩'!$E24*0.01+'1、课程目标与考核方式'!$F$7*'4、平时成绩'!$F24*0.01+'1、课程目标与考核方式'!$G$7*'4、平时成绩'!$G24*0.01)/SUM('1、课程目标与考核方式'!$C$3:$G$3)</f>
        <v>0</v>
      </c>
      <c r="Y24">
        <f ca="1">('1、课程目标与考核方式'!$C$8*'4、平时成绩'!$C24*0.01+'1、课程目标与考核方式'!$D$8*'4、平时成绩'!$D24*0.01+'1、课程目标与考核方式'!$E$8*'4、平时成绩'!$E24*0.01+'1、课程目标与考核方式'!$F$8*'4、平时成绩'!$F24*0.01+'1、课程目标与考核方式'!$G$8*'4、平时成绩'!$G24*0.01)/SUM('1、课程目标与考核方式'!$C$3:$G$3)</f>
        <v>0</v>
      </c>
      <c r="Z24">
        <f ca="1">('1、课程目标与考核方式'!$C$9*'4、平时成绩'!$C24*0.01+'1、课程目标与考核方式'!$D$9*'4、平时成绩'!$D24*0.01+'1、课程目标与考核方式'!$E$9*'4、平时成绩'!$E24*0.01+'1、课程目标与考核方式'!$F$9*'4、平时成绩'!$F24*0.01+'1、课程目标与考核方式'!$G$9*'4、平时成绩'!$G24*0.01)/SUM('1、课程目标与考核方式'!$C$3:$G$3)</f>
        <v>0</v>
      </c>
      <c r="AA24">
        <f ca="1">('1、课程目标与考核方式'!$C$10*'4、平时成绩'!$C24*0.01+'1、课程目标与考核方式'!$D$10*'4、平时成绩'!$D24*0.01+'1、课程目标与考核方式'!$E$10*'4、平时成绩'!$E24*0.01+'1、课程目标与考核方式'!$F$10*'4、平时成绩'!$F24*0.01+'1、课程目标与考核方式'!$G$10*'4、平时成绩'!$G24*0.01)/SUM('1、课程目标与考核方式'!$C$3:$G$3)</f>
        <v>0</v>
      </c>
      <c r="AB24">
        <f>'3、期末成绩'!C24/'2、试卷（期末题目-课程目标）'!$C$2</f>
        <v>0.95</v>
      </c>
      <c r="AC24">
        <f>'3、期末成绩'!D24/'2、试卷（期末题目-课程目标）'!$C$3</f>
        <v>0.95</v>
      </c>
    </row>
    <row r="25" spans="10:29">
      <c r="J25" s="243" t="str">
        <f>IF(ISBLANK('3、期末成绩'!A25)," ",'3、期末成绩'!A25)</f>
        <v>1653126</v>
      </c>
      <c r="K25" s="244" t="str">
        <f>IF(J25=" "," ",VLOOKUP(J25,'3、期末成绩'!$A$2:$B$201,2,FALSE))</f>
        <v>张锦海</v>
      </c>
      <c r="L25">
        <f ca="1">0.01*(T25*SUM('1、课程目标与考核方式'!$C$13:$G$13)+AB25*'1、课程目标与考核方式'!$H$13)</f>
        <v>0.706</v>
      </c>
      <c r="M25">
        <f ca="1">0.01*(U25*SUM('1、课程目标与考核方式'!$C$13:$G$13)+AC25*'1、课程目标与考核方式'!$H$13)</f>
        <v>0.706</v>
      </c>
      <c r="N25">
        <f ca="1">0.01*(V25*SUM('1、课程目标与考核方式'!$C$13:$G$13)+AD25*'1、课程目标与考核方式'!$H$13)</f>
        <v>0.231</v>
      </c>
      <c r="O25">
        <f ca="1">0.01*(W25*SUM('1、课程目标与考核方式'!$C$13:$G$13)+AE25*'1、课程目标与考核方式'!$H$13)</f>
        <v>0</v>
      </c>
      <c r="P25">
        <f ca="1">0.01*(X25*SUM('1、课程目标与考核方式'!$C$13:$G$13)+AF25*'1、课程目标与考核方式'!$H$13)</f>
        <v>0</v>
      </c>
      <c r="Q25">
        <f ca="1">0.01*(Y25*SUM('1、课程目标与考核方式'!$C$13:$G$13)+AG25*'1、课程目标与考核方式'!$H$13)</f>
        <v>0</v>
      </c>
      <c r="R25">
        <f ca="1">0.01*(Z25*SUM('1、课程目标与考核方式'!$C$13:$G$13)+AH25*'1、课程目标与考核方式'!$H$13)</f>
        <v>0</v>
      </c>
      <c r="S25">
        <f ca="1">0.01*(AA25*SUM('1、课程目标与考核方式'!$C$13:$G$13)+AI25*'1、课程目标与考核方式'!$H$13)</f>
        <v>0</v>
      </c>
      <c r="T25">
        <f ca="1">('1、课程目标与考核方式'!$C$3*'4、平时成绩'!$C25*0.01+'1、课程目标与考核方式'!$D$3*'4、平时成绩'!$D25*0.01+'1、课程目标与考核方式'!$E$3*'4、平时成绩'!$E25*0.01+'1、课程目标与考核方式'!$F$3*'4、平时成绩'!$F25*0.01+'1、课程目标与考核方式'!$G$3*'4、平时成绩'!$G25*0.01)/SUM('1、课程目标与考核方式'!$C$3:$G$3)</f>
        <v>0.855555555555556</v>
      </c>
      <c r="U25">
        <f ca="1">('1、课程目标与考核方式'!$C$4*'4、平时成绩'!$C25*0.01+'1、课程目标与考核方式'!$D$4*'4、平时成绩'!$D25*0.01+'1、课程目标与考核方式'!$E$4*'4、平时成绩'!$E25*0.01+'1、课程目标与考核方式'!$F$4*'4、平时成绩'!$F25*0.01+'1、课程目标与考核方式'!$G$4*'4、平时成绩'!$G25*0.01)/SUM('1、课程目标与考核方式'!$C$3:$G$3)</f>
        <v>0.855555555555556</v>
      </c>
      <c r="V25">
        <f ca="1">('1、课程目标与考核方式'!$C$5*'4、平时成绩'!$C25*0.01+'1、课程目标与考核方式'!$D$5*'4、平时成绩'!$D25*0.01+'1、课程目标与考核方式'!$E$5*'4、平时成绩'!$E25*0.01+'1、课程目标与考核方式'!$F$5*'4、平时成绩'!$F25*0.01+'1、课程目标与考核方式'!$G$5*'4、平时成绩'!$G25*0.01)/SUM('1、课程目标与考核方式'!$C$3:$G$3)</f>
        <v>0.855555555555556</v>
      </c>
      <c r="W25">
        <f ca="1">('1、课程目标与考核方式'!$C$6*'4、平时成绩'!$C25*0.01+'1、课程目标与考核方式'!$D$6*'4、平时成绩'!$D25*0.01+'1、课程目标与考核方式'!$E$6*'4、平时成绩'!$E25*0.01+'1、课程目标与考核方式'!$F$6*'4、平时成绩'!$F25*0.01+'1、课程目标与考核方式'!$G$6*'4、平时成绩'!$G25*0.01)/SUM('1、课程目标与考核方式'!$C$3:$G$3)</f>
        <v>0</v>
      </c>
      <c r="X25">
        <f ca="1">('1、课程目标与考核方式'!$C$7*'4、平时成绩'!$C25*0.01+'1、课程目标与考核方式'!$D$7*'4、平时成绩'!$D25*0.01+'1、课程目标与考核方式'!$E$7*'4、平时成绩'!$E25*0.01+'1、课程目标与考核方式'!$F$7*'4、平时成绩'!$F25*0.01+'1、课程目标与考核方式'!$G$7*'4、平时成绩'!$G25*0.01)/SUM('1、课程目标与考核方式'!$C$3:$G$3)</f>
        <v>0</v>
      </c>
      <c r="Y25">
        <f ca="1">('1、课程目标与考核方式'!$C$8*'4、平时成绩'!$C25*0.01+'1、课程目标与考核方式'!$D$8*'4、平时成绩'!$D25*0.01+'1、课程目标与考核方式'!$E$8*'4、平时成绩'!$E25*0.01+'1、课程目标与考核方式'!$F$8*'4、平时成绩'!$F25*0.01+'1、课程目标与考核方式'!$G$8*'4、平时成绩'!$G25*0.01)/SUM('1、课程目标与考核方式'!$C$3:$G$3)</f>
        <v>0</v>
      </c>
      <c r="Z25">
        <f ca="1">('1、课程目标与考核方式'!$C$9*'4、平时成绩'!$C25*0.01+'1、课程目标与考核方式'!$D$9*'4、平时成绩'!$D25*0.01+'1、课程目标与考核方式'!$E$9*'4、平时成绩'!$E25*0.01+'1、课程目标与考核方式'!$F$9*'4、平时成绩'!$F25*0.01+'1、课程目标与考核方式'!$G$9*'4、平时成绩'!$G25*0.01)/SUM('1、课程目标与考核方式'!$C$3:$G$3)</f>
        <v>0</v>
      </c>
      <c r="AA25">
        <f ca="1">('1、课程目标与考核方式'!$C$10*'4、平时成绩'!$C25*0.01+'1、课程目标与考核方式'!$D$10*'4、平时成绩'!$D25*0.01+'1、课程目标与考核方式'!$E$10*'4、平时成绩'!$E25*0.01+'1、课程目标与考核方式'!$F$10*'4、平时成绩'!$F25*0.01+'1、课程目标与考核方式'!$G$10*'4、平时成绩'!$G25*0.01)/SUM('1、课程目标与考核方式'!$C$3:$G$3)</f>
        <v>0</v>
      </c>
      <c r="AB25">
        <f>'3、期末成绩'!C25/'2、试卷（期末题目-课程目标）'!$C$2</f>
        <v>0.95</v>
      </c>
      <c r="AC25">
        <f>'3、期末成绩'!D25/'2、试卷（期末题目-课程目标）'!$C$3</f>
        <v>0.95</v>
      </c>
    </row>
    <row r="26" spans="10:29">
      <c r="J26" s="243" t="str">
        <f>IF(ISBLANK('3、期末成绩'!A26)," ",'3、期末成绩'!A26)</f>
        <v>1653127</v>
      </c>
      <c r="K26" s="244" t="str">
        <f>IF(J26=" "," ",VLOOKUP(J26,'3、期末成绩'!$A$2:$B$201,2,FALSE))</f>
        <v>刘存锟</v>
      </c>
      <c r="L26">
        <f ca="1">0.01*(T26*SUM('1、课程目标与考核方式'!$C$13:$G$13)+AB26*'1、课程目标与考核方式'!$H$13)</f>
        <v>0.6841</v>
      </c>
      <c r="M26">
        <f ca="1">0.01*(U26*SUM('1、课程目标与考核方式'!$C$13:$G$13)+AC26*'1、课程目标与考核方式'!$H$13)</f>
        <v>0.6841</v>
      </c>
      <c r="N26">
        <f ca="1">0.01*(V26*SUM('1、课程目标与考核方式'!$C$13:$G$13)+AD26*'1、课程目标与考核方式'!$H$13)</f>
        <v>0.2091</v>
      </c>
      <c r="O26">
        <f ca="1">0.01*(W26*SUM('1、课程目标与考核方式'!$C$13:$G$13)+AE26*'1、课程目标与考核方式'!$H$13)</f>
        <v>0</v>
      </c>
      <c r="P26">
        <f ca="1">0.01*(X26*SUM('1、课程目标与考核方式'!$C$13:$G$13)+AF26*'1、课程目标与考核方式'!$H$13)</f>
        <v>0</v>
      </c>
      <c r="Q26">
        <f ca="1">0.01*(Y26*SUM('1、课程目标与考核方式'!$C$13:$G$13)+AG26*'1、课程目标与考核方式'!$H$13)</f>
        <v>0</v>
      </c>
      <c r="R26">
        <f ca="1">0.01*(Z26*SUM('1、课程目标与考核方式'!$C$13:$G$13)+AH26*'1、课程目标与考核方式'!$H$13)</f>
        <v>0</v>
      </c>
      <c r="S26">
        <f ca="1">0.01*(AA26*SUM('1、课程目标与考核方式'!$C$13:$G$13)+AI26*'1、课程目标与考核方式'!$H$13)</f>
        <v>0</v>
      </c>
      <c r="T26">
        <f ca="1">('1、课程目标与考核方式'!$C$3*'4、平时成绩'!$C26*0.01+'1、课程目标与考核方式'!$D$3*'4、平时成绩'!$D26*0.01+'1、课程目标与考核方式'!$E$3*'4、平时成绩'!$E26*0.01+'1、课程目标与考核方式'!$F$3*'4、平时成绩'!$F26*0.01+'1、课程目标与考核方式'!$G$3*'4、平时成绩'!$G26*0.01)/SUM('1、课程目标与考核方式'!$C$3:$G$3)</f>
        <v>0.774444444444444</v>
      </c>
      <c r="U26">
        <f ca="1">('1、课程目标与考核方式'!$C$4*'4、平时成绩'!$C26*0.01+'1、课程目标与考核方式'!$D$4*'4、平时成绩'!$D26*0.01+'1、课程目标与考核方式'!$E$4*'4、平时成绩'!$E26*0.01+'1、课程目标与考核方式'!$F$4*'4、平时成绩'!$F26*0.01+'1、课程目标与考核方式'!$G$4*'4、平时成绩'!$G26*0.01)/SUM('1、课程目标与考核方式'!$C$3:$G$3)</f>
        <v>0.774444444444444</v>
      </c>
      <c r="V26">
        <f ca="1">('1、课程目标与考核方式'!$C$5*'4、平时成绩'!$C26*0.01+'1、课程目标与考核方式'!$D$5*'4、平时成绩'!$D26*0.01+'1、课程目标与考核方式'!$E$5*'4、平时成绩'!$E26*0.01+'1、课程目标与考核方式'!$F$5*'4、平时成绩'!$F26*0.01+'1、课程目标与考核方式'!$G$5*'4、平时成绩'!$G26*0.01)/SUM('1、课程目标与考核方式'!$C$3:$G$3)</f>
        <v>0.774444444444444</v>
      </c>
      <c r="W26">
        <f ca="1">('1、课程目标与考核方式'!$C$6*'4、平时成绩'!$C26*0.01+'1、课程目标与考核方式'!$D$6*'4、平时成绩'!$D26*0.01+'1、课程目标与考核方式'!$E$6*'4、平时成绩'!$E26*0.01+'1、课程目标与考核方式'!$F$6*'4、平时成绩'!$F26*0.01+'1、课程目标与考核方式'!$G$6*'4、平时成绩'!$G26*0.01)/SUM('1、课程目标与考核方式'!$C$3:$G$3)</f>
        <v>0</v>
      </c>
      <c r="X26">
        <f ca="1">('1、课程目标与考核方式'!$C$7*'4、平时成绩'!$C26*0.01+'1、课程目标与考核方式'!$D$7*'4、平时成绩'!$D26*0.01+'1、课程目标与考核方式'!$E$7*'4、平时成绩'!$E26*0.01+'1、课程目标与考核方式'!$F$7*'4、平时成绩'!$F26*0.01+'1、课程目标与考核方式'!$G$7*'4、平时成绩'!$G26*0.01)/SUM('1、课程目标与考核方式'!$C$3:$G$3)</f>
        <v>0</v>
      </c>
      <c r="Y26">
        <f ca="1">('1、课程目标与考核方式'!$C$8*'4、平时成绩'!$C26*0.01+'1、课程目标与考核方式'!$D$8*'4、平时成绩'!$D26*0.01+'1、课程目标与考核方式'!$E$8*'4、平时成绩'!$E26*0.01+'1、课程目标与考核方式'!$F$8*'4、平时成绩'!$F26*0.01+'1、课程目标与考核方式'!$G$8*'4、平时成绩'!$G26*0.01)/SUM('1、课程目标与考核方式'!$C$3:$G$3)</f>
        <v>0</v>
      </c>
      <c r="Z26">
        <f ca="1">('1、课程目标与考核方式'!$C$9*'4、平时成绩'!$C26*0.01+'1、课程目标与考核方式'!$D$9*'4、平时成绩'!$D26*0.01+'1、课程目标与考核方式'!$E$9*'4、平时成绩'!$E26*0.01+'1、课程目标与考核方式'!$F$9*'4、平时成绩'!$F26*0.01+'1、课程目标与考核方式'!$G$9*'4、平时成绩'!$G26*0.01)/SUM('1、课程目标与考核方式'!$C$3:$G$3)</f>
        <v>0</v>
      </c>
      <c r="AA26">
        <f ca="1">('1、课程目标与考核方式'!$C$10*'4、平时成绩'!$C26*0.01+'1、课程目标与考核方式'!$D$10*'4、平时成绩'!$D26*0.01+'1、课程目标与考核方式'!$E$10*'4、平时成绩'!$E26*0.01+'1、课程目标与考核方式'!$F$10*'4、平时成绩'!$F26*0.01+'1、课程目标与考核方式'!$G$10*'4、平时成绩'!$G26*0.01)/SUM('1、课程目标与考核方式'!$C$3:$G$3)</f>
        <v>0</v>
      </c>
      <c r="AB26">
        <f>'3、期末成绩'!C26/'2、试卷（期末题目-课程目标）'!$C$2</f>
        <v>0.95</v>
      </c>
      <c r="AC26">
        <f>'3、期末成绩'!D26/'2、试卷（期末题目-课程目标）'!$C$3</f>
        <v>0.95</v>
      </c>
    </row>
    <row r="27" spans="10:29">
      <c r="J27" s="243" t="str">
        <f>IF(ISBLANK('3、期末成绩'!A27)," ",'3、期末成绩'!A27)</f>
        <v>1653128</v>
      </c>
      <c r="K27" s="244" t="str">
        <f>IF(J27=" "," ",VLOOKUP(J27,'3、期末成绩'!$A$2:$B$201,2,FALSE))</f>
        <v>贾振玉</v>
      </c>
      <c r="L27">
        <f ca="1">0.01*(T27*SUM('1、课程目标与考核方式'!$C$13:$G$13)+AB27*'1、课程目标与考核方式'!$H$13)</f>
        <v>0.6826</v>
      </c>
      <c r="M27">
        <f ca="1">0.01*(U27*SUM('1、课程目标与考核方式'!$C$13:$G$13)+AC27*'1、课程目标与考核方式'!$H$13)</f>
        <v>0.6826</v>
      </c>
      <c r="N27">
        <f ca="1">0.01*(V27*SUM('1、课程目标与考核方式'!$C$13:$G$13)+AD27*'1、课程目标与考核方式'!$H$13)</f>
        <v>0.2076</v>
      </c>
      <c r="O27">
        <f ca="1">0.01*(W27*SUM('1、课程目标与考核方式'!$C$13:$G$13)+AE27*'1、课程目标与考核方式'!$H$13)</f>
        <v>0</v>
      </c>
      <c r="P27">
        <f ca="1">0.01*(X27*SUM('1、课程目标与考核方式'!$C$13:$G$13)+AF27*'1、课程目标与考核方式'!$H$13)</f>
        <v>0</v>
      </c>
      <c r="Q27">
        <f ca="1">0.01*(Y27*SUM('1、课程目标与考核方式'!$C$13:$G$13)+AG27*'1、课程目标与考核方式'!$H$13)</f>
        <v>0</v>
      </c>
      <c r="R27">
        <f ca="1">0.01*(Z27*SUM('1、课程目标与考核方式'!$C$13:$G$13)+AH27*'1、课程目标与考核方式'!$H$13)</f>
        <v>0</v>
      </c>
      <c r="S27">
        <f ca="1">0.01*(AA27*SUM('1、课程目标与考核方式'!$C$13:$G$13)+AI27*'1、课程目标与考核方式'!$H$13)</f>
        <v>0</v>
      </c>
      <c r="T27">
        <f ca="1">('1、课程目标与考核方式'!$C$3*'4、平时成绩'!$C27*0.01+'1、课程目标与考核方式'!$D$3*'4、平时成绩'!$D27*0.01+'1、课程目标与考核方式'!$E$3*'4、平时成绩'!$E27*0.01+'1、课程目标与考核方式'!$F$3*'4、平时成绩'!$F27*0.01+'1、课程目标与考核方式'!$G$3*'4、平时成绩'!$G27*0.01)/SUM('1、课程目标与考核方式'!$C$3:$G$3)</f>
        <v>0.768888888888889</v>
      </c>
      <c r="U27">
        <f ca="1">('1、课程目标与考核方式'!$C$4*'4、平时成绩'!$C27*0.01+'1、课程目标与考核方式'!$D$4*'4、平时成绩'!$D27*0.01+'1、课程目标与考核方式'!$E$4*'4、平时成绩'!$E27*0.01+'1、课程目标与考核方式'!$F$4*'4、平时成绩'!$F27*0.01+'1、课程目标与考核方式'!$G$4*'4、平时成绩'!$G27*0.01)/SUM('1、课程目标与考核方式'!$C$3:$G$3)</f>
        <v>0.768888888888889</v>
      </c>
      <c r="V27">
        <f ca="1">('1、课程目标与考核方式'!$C$5*'4、平时成绩'!$C27*0.01+'1、课程目标与考核方式'!$D$5*'4、平时成绩'!$D27*0.01+'1、课程目标与考核方式'!$E$5*'4、平时成绩'!$E27*0.01+'1、课程目标与考核方式'!$F$5*'4、平时成绩'!$F27*0.01+'1、课程目标与考核方式'!$G$5*'4、平时成绩'!$G27*0.01)/SUM('1、课程目标与考核方式'!$C$3:$G$3)</f>
        <v>0.768888888888889</v>
      </c>
      <c r="W27">
        <f ca="1">('1、课程目标与考核方式'!$C$6*'4、平时成绩'!$C27*0.01+'1、课程目标与考核方式'!$D$6*'4、平时成绩'!$D27*0.01+'1、课程目标与考核方式'!$E$6*'4、平时成绩'!$E27*0.01+'1、课程目标与考核方式'!$F$6*'4、平时成绩'!$F27*0.01+'1、课程目标与考核方式'!$G$6*'4、平时成绩'!$G27*0.01)/SUM('1、课程目标与考核方式'!$C$3:$G$3)</f>
        <v>0</v>
      </c>
      <c r="X27">
        <f ca="1">('1、课程目标与考核方式'!$C$7*'4、平时成绩'!$C27*0.01+'1、课程目标与考核方式'!$D$7*'4、平时成绩'!$D27*0.01+'1、课程目标与考核方式'!$E$7*'4、平时成绩'!$E27*0.01+'1、课程目标与考核方式'!$F$7*'4、平时成绩'!$F27*0.01+'1、课程目标与考核方式'!$G$7*'4、平时成绩'!$G27*0.01)/SUM('1、课程目标与考核方式'!$C$3:$G$3)</f>
        <v>0</v>
      </c>
      <c r="Y27">
        <f ca="1">('1、课程目标与考核方式'!$C$8*'4、平时成绩'!$C27*0.01+'1、课程目标与考核方式'!$D$8*'4、平时成绩'!$D27*0.01+'1、课程目标与考核方式'!$E$8*'4、平时成绩'!$E27*0.01+'1、课程目标与考核方式'!$F$8*'4、平时成绩'!$F27*0.01+'1、课程目标与考核方式'!$G$8*'4、平时成绩'!$G27*0.01)/SUM('1、课程目标与考核方式'!$C$3:$G$3)</f>
        <v>0</v>
      </c>
      <c r="Z27">
        <f ca="1">('1、课程目标与考核方式'!$C$9*'4、平时成绩'!$C27*0.01+'1、课程目标与考核方式'!$D$9*'4、平时成绩'!$D27*0.01+'1、课程目标与考核方式'!$E$9*'4、平时成绩'!$E27*0.01+'1、课程目标与考核方式'!$F$9*'4、平时成绩'!$F27*0.01+'1、课程目标与考核方式'!$G$9*'4、平时成绩'!$G27*0.01)/SUM('1、课程目标与考核方式'!$C$3:$G$3)</f>
        <v>0</v>
      </c>
      <c r="AA27">
        <f ca="1">('1、课程目标与考核方式'!$C$10*'4、平时成绩'!$C27*0.01+'1、课程目标与考核方式'!$D$10*'4、平时成绩'!$D27*0.01+'1、课程目标与考核方式'!$E$10*'4、平时成绩'!$E27*0.01+'1、课程目标与考核方式'!$F$10*'4、平时成绩'!$F27*0.01+'1、课程目标与考核方式'!$G$10*'4、平时成绩'!$G27*0.01)/SUM('1、课程目标与考核方式'!$C$3:$G$3)</f>
        <v>0</v>
      </c>
      <c r="AB27">
        <f>'3、期末成绩'!C27/'2、试卷（期末题目-课程目标）'!$C$2</f>
        <v>0.95</v>
      </c>
      <c r="AC27">
        <f>'3、期末成绩'!D27/'2、试卷（期末题目-课程目标）'!$C$3</f>
        <v>0.95</v>
      </c>
    </row>
    <row r="28" spans="10:29">
      <c r="J28" s="243" t="str">
        <f>IF(ISBLANK('3、期末成绩'!A28)," ",'3、期末成绩'!A28)</f>
        <v>1653130</v>
      </c>
      <c r="K28" s="244" t="str">
        <f>IF(J28=" "," ",VLOOKUP(J28,'3、期末成绩'!$A$2:$B$201,2,FALSE))</f>
        <v>覃戈</v>
      </c>
      <c r="L28">
        <f ca="1">0.01*(T28*SUM('1、课程目标与考核方式'!$C$13:$G$13)+AB28*'1、课程目标与考核方式'!$H$13)</f>
        <v>0.7234</v>
      </c>
      <c r="M28">
        <f ca="1">0.01*(U28*SUM('1、课程目标与考核方式'!$C$13:$G$13)+AC28*'1、课程目标与考核方式'!$H$13)</f>
        <v>0.7234</v>
      </c>
      <c r="N28">
        <f ca="1">0.01*(V28*SUM('1、课程目标与考核方式'!$C$13:$G$13)+AD28*'1、课程目标与考核方式'!$H$13)</f>
        <v>0.2484</v>
      </c>
      <c r="O28">
        <f ca="1">0.01*(W28*SUM('1、课程目标与考核方式'!$C$13:$G$13)+AE28*'1、课程目标与考核方式'!$H$13)</f>
        <v>0</v>
      </c>
      <c r="P28">
        <f ca="1">0.01*(X28*SUM('1、课程目标与考核方式'!$C$13:$G$13)+AF28*'1、课程目标与考核方式'!$H$13)</f>
        <v>0</v>
      </c>
      <c r="Q28">
        <f ca="1">0.01*(Y28*SUM('1、课程目标与考核方式'!$C$13:$G$13)+AG28*'1、课程目标与考核方式'!$H$13)</f>
        <v>0</v>
      </c>
      <c r="R28">
        <f ca="1">0.01*(Z28*SUM('1、课程目标与考核方式'!$C$13:$G$13)+AH28*'1、课程目标与考核方式'!$H$13)</f>
        <v>0</v>
      </c>
      <c r="S28">
        <f ca="1">0.01*(AA28*SUM('1、课程目标与考核方式'!$C$13:$G$13)+AI28*'1、课程目标与考核方式'!$H$13)</f>
        <v>0</v>
      </c>
      <c r="T28">
        <f ca="1">('1、课程目标与考核方式'!$C$3*'4、平时成绩'!$C28*0.01+'1、课程目标与考核方式'!$D$3*'4、平时成绩'!$D28*0.01+'1、课程目标与考核方式'!$E$3*'4、平时成绩'!$E28*0.01+'1、课程目标与考核方式'!$F$3*'4、平时成绩'!$F28*0.01+'1、课程目标与考核方式'!$G$3*'4、平时成绩'!$G28*0.01)/SUM('1、课程目标与考核方式'!$C$3:$G$3)</f>
        <v>0.92</v>
      </c>
      <c r="U28">
        <f ca="1">('1、课程目标与考核方式'!$C$4*'4、平时成绩'!$C28*0.01+'1、课程目标与考核方式'!$D$4*'4、平时成绩'!$D28*0.01+'1、课程目标与考核方式'!$E$4*'4、平时成绩'!$E28*0.01+'1、课程目标与考核方式'!$F$4*'4、平时成绩'!$F28*0.01+'1、课程目标与考核方式'!$G$4*'4、平时成绩'!$G28*0.01)/SUM('1、课程目标与考核方式'!$C$3:$G$3)</f>
        <v>0.92</v>
      </c>
      <c r="V28">
        <f ca="1">('1、课程目标与考核方式'!$C$5*'4、平时成绩'!$C28*0.01+'1、课程目标与考核方式'!$D$5*'4、平时成绩'!$D28*0.01+'1、课程目标与考核方式'!$E$5*'4、平时成绩'!$E28*0.01+'1、课程目标与考核方式'!$F$5*'4、平时成绩'!$F28*0.01+'1、课程目标与考核方式'!$G$5*'4、平时成绩'!$G28*0.01)/SUM('1、课程目标与考核方式'!$C$3:$G$3)</f>
        <v>0.92</v>
      </c>
      <c r="W28">
        <f ca="1">('1、课程目标与考核方式'!$C$6*'4、平时成绩'!$C28*0.01+'1、课程目标与考核方式'!$D$6*'4、平时成绩'!$D28*0.01+'1、课程目标与考核方式'!$E$6*'4、平时成绩'!$E28*0.01+'1、课程目标与考核方式'!$F$6*'4、平时成绩'!$F28*0.01+'1、课程目标与考核方式'!$G$6*'4、平时成绩'!$G28*0.01)/SUM('1、课程目标与考核方式'!$C$3:$G$3)</f>
        <v>0</v>
      </c>
      <c r="X28">
        <f ca="1">('1、课程目标与考核方式'!$C$7*'4、平时成绩'!$C28*0.01+'1、课程目标与考核方式'!$D$7*'4、平时成绩'!$D28*0.01+'1、课程目标与考核方式'!$E$7*'4、平时成绩'!$E28*0.01+'1、课程目标与考核方式'!$F$7*'4、平时成绩'!$F28*0.01+'1、课程目标与考核方式'!$G$7*'4、平时成绩'!$G28*0.01)/SUM('1、课程目标与考核方式'!$C$3:$G$3)</f>
        <v>0</v>
      </c>
      <c r="Y28">
        <f ca="1">('1、课程目标与考核方式'!$C$8*'4、平时成绩'!$C28*0.01+'1、课程目标与考核方式'!$D$8*'4、平时成绩'!$D28*0.01+'1、课程目标与考核方式'!$E$8*'4、平时成绩'!$E28*0.01+'1、课程目标与考核方式'!$F$8*'4、平时成绩'!$F28*0.01+'1、课程目标与考核方式'!$G$8*'4、平时成绩'!$G28*0.01)/SUM('1、课程目标与考核方式'!$C$3:$G$3)</f>
        <v>0</v>
      </c>
      <c r="Z28">
        <f ca="1">('1、课程目标与考核方式'!$C$9*'4、平时成绩'!$C28*0.01+'1、课程目标与考核方式'!$D$9*'4、平时成绩'!$D28*0.01+'1、课程目标与考核方式'!$E$9*'4、平时成绩'!$E28*0.01+'1、课程目标与考核方式'!$F$9*'4、平时成绩'!$F28*0.01+'1、课程目标与考核方式'!$G$9*'4、平时成绩'!$G28*0.01)/SUM('1、课程目标与考核方式'!$C$3:$G$3)</f>
        <v>0</v>
      </c>
      <c r="AA28">
        <f ca="1">('1、课程目标与考核方式'!$C$10*'4、平时成绩'!$C28*0.01+'1、课程目标与考核方式'!$D$10*'4、平时成绩'!$D28*0.01+'1、课程目标与考核方式'!$E$10*'4、平时成绩'!$E28*0.01+'1、课程目标与考核方式'!$F$10*'4、平时成绩'!$F28*0.01+'1、课程目标与考核方式'!$G$10*'4、平时成绩'!$G28*0.01)/SUM('1、课程目标与考核方式'!$C$3:$G$3)</f>
        <v>0</v>
      </c>
      <c r="AB28">
        <f>'3、期末成绩'!C28/'2、试卷（期末题目-课程目标）'!$C$2</f>
        <v>0.95</v>
      </c>
      <c r="AC28">
        <f>'3、期末成绩'!D28/'2、试卷（期末题目-课程目标）'!$C$3</f>
        <v>0.95</v>
      </c>
    </row>
    <row r="29" spans="10:29">
      <c r="J29" s="243" t="str">
        <f>IF(ISBLANK('3、期末成绩'!A29)," ",'3、期末成绩'!A29)</f>
        <v>1653133</v>
      </c>
      <c r="K29" s="244" t="str">
        <f>IF(J29=" "," ",VLOOKUP(J29,'3、期末成绩'!$A$2:$B$201,2,FALSE))</f>
        <v>董伟</v>
      </c>
      <c r="L29">
        <f ca="1">0.01*(T29*SUM('1、课程目标与考核方式'!$C$13:$G$13)+AB29*'1、课程目标与考核方式'!$H$13)</f>
        <v>0.6997</v>
      </c>
      <c r="M29">
        <f ca="1">0.01*(U29*SUM('1、课程目标与考核方式'!$C$13:$G$13)+AC29*'1、课程目标与考核方式'!$H$13)</f>
        <v>0.6997</v>
      </c>
      <c r="N29">
        <f ca="1">0.01*(V29*SUM('1、课程目标与考核方式'!$C$13:$G$13)+AD29*'1、课程目标与考核方式'!$H$13)</f>
        <v>0.2247</v>
      </c>
      <c r="O29">
        <f ca="1">0.01*(W29*SUM('1、课程目标与考核方式'!$C$13:$G$13)+AE29*'1、课程目标与考核方式'!$H$13)</f>
        <v>0</v>
      </c>
      <c r="P29">
        <f ca="1">0.01*(X29*SUM('1、课程目标与考核方式'!$C$13:$G$13)+AF29*'1、课程目标与考核方式'!$H$13)</f>
        <v>0</v>
      </c>
      <c r="Q29">
        <f ca="1">0.01*(Y29*SUM('1、课程目标与考核方式'!$C$13:$G$13)+AG29*'1、课程目标与考核方式'!$H$13)</f>
        <v>0</v>
      </c>
      <c r="R29">
        <f ca="1">0.01*(Z29*SUM('1、课程目标与考核方式'!$C$13:$G$13)+AH29*'1、课程目标与考核方式'!$H$13)</f>
        <v>0</v>
      </c>
      <c r="S29">
        <f ca="1">0.01*(AA29*SUM('1、课程目标与考核方式'!$C$13:$G$13)+AI29*'1、课程目标与考核方式'!$H$13)</f>
        <v>0</v>
      </c>
      <c r="T29">
        <f ca="1">('1、课程目标与考核方式'!$C$3*'4、平时成绩'!$C29*0.01+'1、课程目标与考核方式'!$D$3*'4、平时成绩'!$D29*0.01+'1、课程目标与考核方式'!$E$3*'4、平时成绩'!$E29*0.01+'1、课程目标与考核方式'!$F$3*'4、平时成绩'!$F29*0.01+'1、课程目标与考核方式'!$G$3*'4、平时成绩'!$G29*0.01)/SUM('1、课程目标与考核方式'!$C$3:$G$3)</f>
        <v>0.832222222222222</v>
      </c>
      <c r="U29">
        <f ca="1">('1、课程目标与考核方式'!$C$4*'4、平时成绩'!$C29*0.01+'1、课程目标与考核方式'!$D$4*'4、平时成绩'!$D29*0.01+'1、课程目标与考核方式'!$E$4*'4、平时成绩'!$E29*0.01+'1、课程目标与考核方式'!$F$4*'4、平时成绩'!$F29*0.01+'1、课程目标与考核方式'!$G$4*'4、平时成绩'!$G29*0.01)/SUM('1、课程目标与考核方式'!$C$3:$G$3)</f>
        <v>0.832222222222222</v>
      </c>
      <c r="V29">
        <f ca="1">('1、课程目标与考核方式'!$C$5*'4、平时成绩'!$C29*0.01+'1、课程目标与考核方式'!$D$5*'4、平时成绩'!$D29*0.01+'1、课程目标与考核方式'!$E$5*'4、平时成绩'!$E29*0.01+'1、课程目标与考核方式'!$F$5*'4、平时成绩'!$F29*0.01+'1、课程目标与考核方式'!$G$5*'4、平时成绩'!$G29*0.01)/SUM('1、课程目标与考核方式'!$C$3:$G$3)</f>
        <v>0.832222222222222</v>
      </c>
      <c r="W29">
        <f ca="1">('1、课程目标与考核方式'!$C$6*'4、平时成绩'!$C29*0.01+'1、课程目标与考核方式'!$D$6*'4、平时成绩'!$D29*0.01+'1、课程目标与考核方式'!$E$6*'4、平时成绩'!$E29*0.01+'1、课程目标与考核方式'!$F$6*'4、平时成绩'!$F29*0.01+'1、课程目标与考核方式'!$G$6*'4、平时成绩'!$G29*0.01)/SUM('1、课程目标与考核方式'!$C$3:$G$3)</f>
        <v>0</v>
      </c>
      <c r="X29">
        <f ca="1">('1、课程目标与考核方式'!$C$7*'4、平时成绩'!$C29*0.01+'1、课程目标与考核方式'!$D$7*'4、平时成绩'!$D29*0.01+'1、课程目标与考核方式'!$E$7*'4、平时成绩'!$E29*0.01+'1、课程目标与考核方式'!$F$7*'4、平时成绩'!$F29*0.01+'1、课程目标与考核方式'!$G$7*'4、平时成绩'!$G29*0.01)/SUM('1、课程目标与考核方式'!$C$3:$G$3)</f>
        <v>0</v>
      </c>
      <c r="Y29">
        <f ca="1">('1、课程目标与考核方式'!$C$8*'4、平时成绩'!$C29*0.01+'1、课程目标与考核方式'!$D$8*'4、平时成绩'!$D29*0.01+'1、课程目标与考核方式'!$E$8*'4、平时成绩'!$E29*0.01+'1、课程目标与考核方式'!$F$8*'4、平时成绩'!$F29*0.01+'1、课程目标与考核方式'!$G$8*'4、平时成绩'!$G29*0.01)/SUM('1、课程目标与考核方式'!$C$3:$G$3)</f>
        <v>0</v>
      </c>
      <c r="Z29">
        <f ca="1">('1、课程目标与考核方式'!$C$9*'4、平时成绩'!$C29*0.01+'1、课程目标与考核方式'!$D$9*'4、平时成绩'!$D29*0.01+'1、课程目标与考核方式'!$E$9*'4、平时成绩'!$E29*0.01+'1、课程目标与考核方式'!$F$9*'4、平时成绩'!$F29*0.01+'1、课程目标与考核方式'!$G$9*'4、平时成绩'!$G29*0.01)/SUM('1、课程目标与考核方式'!$C$3:$G$3)</f>
        <v>0</v>
      </c>
      <c r="AA29">
        <f ca="1">('1、课程目标与考核方式'!$C$10*'4、平时成绩'!$C29*0.01+'1、课程目标与考核方式'!$D$10*'4、平时成绩'!$D29*0.01+'1、课程目标与考核方式'!$E$10*'4、平时成绩'!$E29*0.01+'1、课程目标与考核方式'!$F$10*'4、平时成绩'!$F29*0.01+'1、课程目标与考核方式'!$G$10*'4、平时成绩'!$G29*0.01)/SUM('1、课程目标与考核方式'!$C$3:$G$3)</f>
        <v>0</v>
      </c>
      <c r="AB29">
        <f>'3、期末成绩'!C29/'2、试卷（期末题目-课程目标）'!$C$2</f>
        <v>0.95</v>
      </c>
      <c r="AC29">
        <f>'3、期末成绩'!D29/'2、试卷（期末题目-课程目标）'!$C$3</f>
        <v>0.95</v>
      </c>
    </row>
    <row r="30" spans="10:29">
      <c r="J30" s="243" t="str">
        <f>IF(ISBLANK('3、期末成绩'!A30)," ",'3、期末成绩'!A30)</f>
        <v>1653134</v>
      </c>
      <c r="K30" s="244" t="str">
        <f>IF(J30=" "," ",VLOOKUP(J30,'3、期末成绩'!$A$2:$B$201,2,FALSE))</f>
        <v>石昊宇</v>
      </c>
      <c r="L30">
        <f ca="1">0.01*(T30*SUM('1、课程目标与考核方式'!$C$13:$G$13)+AB30*'1、课程目标与考核方式'!$H$13)</f>
        <v>0.7198</v>
      </c>
      <c r="M30">
        <f ca="1">0.01*(U30*SUM('1、课程目标与考核方式'!$C$13:$G$13)+AC30*'1、课程目标与考核方式'!$H$13)</f>
        <v>0.7198</v>
      </c>
      <c r="N30">
        <f ca="1">0.01*(V30*SUM('1、课程目标与考核方式'!$C$13:$G$13)+AD30*'1、课程目标与考核方式'!$H$13)</f>
        <v>0.2448</v>
      </c>
      <c r="O30">
        <f ca="1">0.01*(W30*SUM('1、课程目标与考核方式'!$C$13:$G$13)+AE30*'1、课程目标与考核方式'!$H$13)</f>
        <v>0</v>
      </c>
      <c r="P30">
        <f ca="1">0.01*(X30*SUM('1、课程目标与考核方式'!$C$13:$G$13)+AF30*'1、课程目标与考核方式'!$H$13)</f>
        <v>0</v>
      </c>
      <c r="Q30">
        <f ca="1">0.01*(Y30*SUM('1、课程目标与考核方式'!$C$13:$G$13)+AG30*'1、课程目标与考核方式'!$H$13)</f>
        <v>0</v>
      </c>
      <c r="R30">
        <f ca="1">0.01*(Z30*SUM('1、课程目标与考核方式'!$C$13:$G$13)+AH30*'1、课程目标与考核方式'!$H$13)</f>
        <v>0</v>
      </c>
      <c r="S30">
        <f ca="1">0.01*(AA30*SUM('1、课程目标与考核方式'!$C$13:$G$13)+AI30*'1、课程目标与考核方式'!$H$13)</f>
        <v>0</v>
      </c>
      <c r="T30">
        <f ca="1">('1、课程目标与考核方式'!$C$3*'4、平时成绩'!$C30*0.01+'1、课程目标与考核方式'!$D$3*'4、平时成绩'!$D30*0.01+'1、课程目标与考核方式'!$E$3*'4、平时成绩'!$E30*0.01+'1、课程目标与考核方式'!$F$3*'4、平时成绩'!$F30*0.01+'1、课程目标与考核方式'!$G$3*'4、平时成绩'!$G30*0.01)/SUM('1、课程目标与考核方式'!$C$3:$G$3)</f>
        <v>0.906666666666667</v>
      </c>
      <c r="U30">
        <f ca="1">('1、课程目标与考核方式'!$C$4*'4、平时成绩'!$C30*0.01+'1、课程目标与考核方式'!$D$4*'4、平时成绩'!$D30*0.01+'1、课程目标与考核方式'!$E$4*'4、平时成绩'!$E30*0.01+'1、课程目标与考核方式'!$F$4*'4、平时成绩'!$F30*0.01+'1、课程目标与考核方式'!$G$4*'4、平时成绩'!$G30*0.01)/SUM('1、课程目标与考核方式'!$C$3:$G$3)</f>
        <v>0.906666666666667</v>
      </c>
      <c r="V30">
        <f ca="1">('1、课程目标与考核方式'!$C$5*'4、平时成绩'!$C30*0.01+'1、课程目标与考核方式'!$D$5*'4、平时成绩'!$D30*0.01+'1、课程目标与考核方式'!$E$5*'4、平时成绩'!$E30*0.01+'1、课程目标与考核方式'!$F$5*'4、平时成绩'!$F30*0.01+'1、课程目标与考核方式'!$G$5*'4、平时成绩'!$G30*0.01)/SUM('1、课程目标与考核方式'!$C$3:$G$3)</f>
        <v>0.906666666666667</v>
      </c>
      <c r="W30">
        <f ca="1">('1、课程目标与考核方式'!$C$6*'4、平时成绩'!$C30*0.01+'1、课程目标与考核方式'!$D$6*'4、平时成绩'!$D30*0.01+'1、课程目标与考核方式'!$E$6*'4、平时成绩'!$E30*0.01+'1、课程目标与考核方式'!$F$6*'4、平时成绩'!$F30*0.01+'1、课程目标与考核方式'!$G$6*'4、平时成绩'!$G30*0.01)/SUM('1、课程目标与考核方式'!$C$3:$G$3)</f>
        <v>0</v>
      </c>
      <c r="X30">
        <f ca="1">('1、课程目标与考核方式'!$C$7*'4、平时成绩'!$C30*0.01+'1、课程目标与考核方式'!$D$7*'4、平时成绩'!$D30*0.01+'1、课程目标与考核方式'!$E$7*'4、平时成绩'!$E30*0.01+'1、课程目标与考核方式'!$F$7*'4、平时成绩'!$F30*0.01+'1、课程目标与考核方式'!$G$7*'4、平时成绩'!$G30*0.01)/SUM('1、课程目标与考核方式'!$C$3:$G$3)</f>
        <v>0</v>
      </c>
      <c r="Y30">
        <f ca="1">('1、课程目标与考核方式'!$C$8*'4、平时成绩'!$C30*0.01+'1、课程目标与考核方式'!$D$8*'4、平时成绩'!$D30*0.01+'1、课程目标与考核方式'!$E$8*'4、平时成绩'!$E30*0.01+'1、课程目标与考核方式'!$F$8*'4、平时成绩'!$F30*0.01+'1、课程目标与考核方式'!$G$8*'4、平时成绩'!$G30*0.01)/SUM('1、课程目标与考核方式'!$C$3:$G$3)</f>
        <v>0</v>
      </c>
      <c r="Z30">
        <f ca="1">('1、课程目标与考核方式'!$C$9*'4、平时成绩'!$C30*0.01+'1、课程目标与考核方式'!$D$9*'4、平时成绩'!$D30*0.01+'1、课程目标与考核方式'!$E$9*'4、平时成绩'!$E30*0.01+'1、课程目标与考核方式'!$F$9*'4、平时成绩'!$F30*0.01+'1、课程目标与考核方式'!$G$9*'4、平时成绩'!$G30*0.01)/SUM('1、课程目标与考核方式'!$C$3:$G$3)</f>
        <v>0</v>
      </c>
      <c r="AA30">
        <f ca="1">('1、课程目标与考核方式'!$C$10*'4、平时成绩'!$C30*0.01+'1、课程目标与考核方式'!$D$10*'4、平时成绩'!$D30*0.01+'1、课程目标与考核方式'!$E$10*'4、平时成绩'!$E30*0.01+'1、课程目标与考核方式'!$F$10*'4、平时成绩'!$F30*0.01+'1、课程目标与考核方式'!$G$10*'4、平时成绩'!$G30*0.01)/SUM('1、课程目标与考核方式'!$C$3:$G$3)</f>
        <v>0</v>
      </c>
      <c r="AB30">
        <f>'3、期末成绩'!C30/'2、试卷（期末题目-课程目标）'!$C$2</f>
        <v>0.95</v>
      </c>
      <c r="AC30">
        <f>'3、期末成绩'!D30/'2、试卷（期末题目-课程目标）'!$C$3</f>
        <v>0.95</v>
      </c>
    </row>
    <row r="31" spans="10:29">
      <c r="J31" s="243" t="str">
        <f>IF(ISBLANK('3、期末成绩'!A31)," ",'3、期末成绩'!A31)</f>
        <v>1653135</v>
      </c>
      <c r="K31" s="244" t="str">
        <f>IF(J31=" "," ",VLOOKUP(J31,'3、期末成绩'!$A$2:$B$201,2,FALSE))</f>
        <v>刘云强</v>
      </c>
      <c r="L31">
        <f ca="1">0.01*(T31*SUM('1、课程目标与考核方式'!$C$13:$G$13)+AB31*'1、课程目标与考核方式'!$H$13)</f>
        <v>0.6727</v>
      </c>
      <c r="M31">
        <f ca="1">0.01*(U31*SUM('1、课程目标与考核方式'!$C$13:$G$13)+AC31*'1、课程目标与考核方式'!$H$13)</f>
        <v>0.6727</v>
      </c>
      <c r="N31">
        <f ca="1">0.01*(V31*SUM('1、课程目标与考核方式'!$C$13:$G$13)+AD31*'1、课程目标与考核方式'!$H$13)</f>
        <v>0.1977</v>
      </c>
      <c r="O31">
        <f ca="1">0.01*(W31*SUM('1、课程目标与考核方式'!$C$13:$G$13)+AE31*'1、课程目标与考核方式'!$H$13)</f>
        <v>0</v>
      </c>
      <c r="P31">
        <f ca="1">0.01*(X31*SUM('1、课程目标与考核方式'!$C$13:$G$13)+AF31*'1、课程目标与考核方式'!$H$13)</f>
        <v>0</v>
      </c>
      <c r="Q31">
        <f ca="1">0.01*(Y31*SUM('1、课程目标与考核方式'!$C$13:$G$13)+AG31*'1、课程目标与考核方式'!$H$13)</f>
        <v>0</v>
      </c>
      <c r="R31">
        <f ca="1">0.01*(Z31*SUM('1、课程目标与考核方式'!$C$13:$G$13)+AH31*'1、课程目标与考核方式'!$H$13)</f>
        <v>0</v>
      </c>
      <c r="S31">
        <f ca="1">0.01*(AA31*SUM('1、课程目标与考核方式'!$C$13:$G$13)+AI31*'1、课程目标与考核方式'!$H$13)</f>
        <v>0</v>
      </c>
      <c r="T31">
        <f ca="1">('1、课程目标与考核方式'!$C$3*'4、平时成绩'!$C31*0.01+'1、课程目标与考核方式'!$D$3*'4、平时成绩'!$D31*0.01+'1、课程目标与考核方式'!$E$3*'4、平时成绩'!$E31*0.01+'1、课程目标与考核方式'!$F$3*'4、平时成绩'!$F31*0.01+'1、课程目标与考核方式'!$G$3*'4、平时成绩'!$G31*0.01)/SUM('1、课程目标与考核方式'!$C$3:$G$3)</f>
        <v>0.732222222222222</v>
      </c>
      <c r="U31">
        <f ca="1">('1、课程目标与考核方式'!$C$4*'4、平时成绩'!$C31*0.01+'1、课程目标与考核方式'!$D$4*'4、平时成绩'!$D31*0.01+'1、课程目标与考核方式'!$E$4*'4、平时成绩'!$E31*0.01+'1、课程目标与考核方式'!$F$4*'4、平时成绩'!$F31*0.01+'1、课程目标与考核方式'!$G$4*'4、平时成绩'!$G31*0.01)/SUM('1、课程目标与考核方式'!$C$3:$G$3)</f>
        <v>0.732222222222222</v>
      </c>
      <c r="V31">
        <f ca="1">('1、课程目标与考核方式'!$C$5*'4、平时成绩'!$C31*0.01+'1、课程目标与考核方式'!$D$5*'4、平时成绩'!$D31*0.01+'1、课程目标与考核方式'!$E$5*'4、平时成绩'!$E31*0.01+'1、课程目标与考核方式'!$F$5*'4、平时成绩'!$F31*0.01+'1、课程目标与考核方式'!$G$5*'4、平时成绩'!$G31*0.01)/SUM('1、课程目标与考核方式'!$C$3:$G$3)</f>
        <v>0.732222222222222</v>
      </c>
      <c r="W31">
        <f ca="1">('1、课程目标与考核方式'!$C$6*'4、平时成绩'!$C31*0.01+'1、课程目标与考核方式'!$D$6*'4、平时成绩'!$D31*0.01+'1、课程目标与考核方式'!$E$6*'4、平时成绩'!$E31*0.01+'1、课程目标与考核方式'!$F$6*'4、平时成绩'!$F31*0.01+'1、课程目标与考核方式'!$G$6*'4、平时成绩'!$G31*0.01)/SUM('1、课程目标与考核方式'!$C$3:$G$3)</f>
        <v>0</v>
      </c>
      <c r="X31">
        <f ca="1">('1、课程目标与考核方式'!$C$7*'4、平时成绩'!$C31*0.01+'1、课程目标与考核方式'!$D$7*'4、平时成绩'!$D31*0.01+'1、课程目标与考核方式'!$E$7*'4、平时成绩'!$E31*0.01+'1、课程目标与考核方式'!$F$7*'4、平时成绩'!$F31*0.01+'1、课程目标与考核方式'!$G$7*'4、平时成绩'!$G31*0.01)/SUM('1、课程目标与考核方式'!$C$3:$G$3)</f>
        <v>0</v>
      </c>
      <c r="Y31">
        <f ca="1">('1、课程目标与考核方式'!$C$8*'4、平时成绩'!$C31*0.01+'1、课程目标与考核方式'!$D$8*'4、平时成绩'!$D31*0.01+'1、课程目标与考核方式'!$E$8*'4、平时成绩'!$E31*0.01+'1、课程目标与考核方式'!$F$8*'4、平时成绩'!$F31*0.01+'1、课程目标与考核方式'!$G$8*'4、平时成绩'!$G31*0.01)/SUM('1、课程目标与考核方式'!$C$3:$G$3)</f>
        <v>0</v>
      </c>
      <c r="Z31">
        <f ca="1">('1、课程目标与考核方式'!$C$9*'4、平时成绩'!$C31*0.01+'1、课程目标与考核方式'!$D$9*'4、平时成绩'!$D31*0.01+'1、课程目标与考核方式'!$E$9*'4、平时成绩'!$E31*0.01+'1、课程目标与考核方式'!$F$9*'4、平时成绩'!$F31*0.01+'1、课程目标与考核方式'!$G$9*'4、平时成绩'!$G31*0.01)/SUM('1、课程目标与考核方式'!$C$3:$G$3)</f>
        <v>0</v>
      </c>
      <c r="AA31">
        <f ca="1">('1、课程目标与考核方式'!$C$10*'4、平时成绩'!$C31*0.01+'1、课程目标与考核方式'!$D$10*'4、平时成绩'!$D31*0.01+'1、课程目标与考核方式'!$E$10*'4、平时成绩'!$E31*0.01+'1、课程目标与考核方式'!$F$10*'4、平时成绩'!$F31*0.01+'1、课程目标与考核方式'!$G$10*'4、平时成绩'!$G31*0.01)/SUM('1、课程目标与考核方式'!$C$3:$G$3)</f>
        <v>0</v>
      </c>
      <c r="AB31">
        <f>'3、期末成绩'!C31/'2、试卷（期末题目-课程目标）'!$C$2</f>
        <v>0.95</v>
      </c>
      <c r="AC31">
        <f>'3、期末成绩'!D31/'2、试卷（期末题目-课程目标）'!$C$3</f>
        <v>0.95</v>
      </c>
    </row>
    <row r="32" spans="10:29">
      <c r="J32" s="243" t="str">
        <f>IF(ISBLANK('3、期末成绩'!A32)," ",'3、期末成绩'!A32)</f>
        <v>1653136</v>
      </c>
      <c r="K32" s="244" t="str">
        <f>IF(J32=" "," ",VLOOKUP(J32,'3、期末成绩'!$A$2:$B$201,2,FALSE))</f>
        <v>孙振运</v>
      </c>
      <c r="L32">
        <f ca="1">0.01*(T32*SUM('1、课程目标与考核方式'!$C$13:$G$13)+AB32*'1、课程目标与考核方式'!$H$13)</f>
        <v>0.6967</v>
      </c>
      <c r="M32">
        <f ca="1">0.01*(U32*SUM('1、课程目标与考核方式'!$C$13:$G$13)+AC32*'1、课程目标与考核方式'!$H$13)</f>
        <v>0.6967</v>
      </c>
      <c r="N32">
        <f ca="1">0.01*(V32*SUM('1、课程目标与考核方式'!$C$13:$G$13)+AD32*'1、课程目标与考核方式'!$H$13)</f>
        <v>0.2217</v>
      </c>
      <c r="O32">
        <f ca="1">0.01*(W32*SUM('1、课程目标与考核方式'!$C$13:$G$13)+AE32*'1、课程目标与考核方式'!$H$13)</f>
        <v>0</v>
      </c>
      <c r="P32">
        <f ca="1">0.01*(X32*SUM('1、课程目标与考核方式'!$C$13:$G$13)+AF32*'1、课程目标与考核方式'!$H$13)</f>
        <v>0</v>
      </c>
      <c r="Q32">
        <f ca="1">0.01*(Y32*SUM('1、课程目标与考核方式'!$C$13:$G$13)+AG32*'1、课程目标与考核方式'!$H$13)</f>
        <v>0</v>
      </c>
      <c r="R32">
        <f ca="1">0.01*(Z32*SUM('1、课程目标与考核方式'!$C$13:$G$13)+AH32*'1、课程目标与考核方式'!$H$13)</f>
        <v>0</v>
      </c>
      <c r="S32">
        <f ca="1">0.01*(AA32*SUM('1、课程目标与考核方式'!$C$13:$G$13)+AI32*'1、课程目标与考核方式'!$H$13)</f>
        <v>0</v>
      </c>
      <c r="T32">
        <f ca="1">('1、课程目标与考核方式'!$C$3*'4、平时成绩'!$C32*0.01+'1、课程目标与考核方式'!$D$3*'4、平时成绩'!$D32*0.01+'1、课程目标与考核方式'!$E$3*'4、平时成绩'!$E32*0.01+'1、课程目标与考核方式'!$F$3*'4、平时成绩'!$F32*0.01+'1、课程目标与考核方式'!$G$3*'4、平时成绩'!$G32*0.01)/SUM('1、课程目标与考核方式'!$C$3:$G$3)</f>
        <v>0.821111111111111</v>
      </c>
      <c r="U32">
        <f ca="1">('1、课程目标与考核方式'!$C$4*'4、平时成绩'!$C32*0.01+'1、课程目标与考核方式'!$D$4*'4、平时成绩'!$D32*0.01+'1、课程目标与考核方式'!$E$4*'4、平时成绩'!$E32*0.01+'1、课程目标与考核方式'!$F$4*'4、平时成绩'!$F32*0.01+'1、课程目标与考核方式'!$G$4*'4、平时成绩'!$G32*0.01)/SUM('1、课程目标与考核方式'!$C$3:$G$3)</f>
        <v>0.821111111111111</v>
      </c>
      <c r="V32">
        <f ca="1">('1、课程目标与考核方式'!$C$5*'4、平时成绩'!$C32*0.01+'1、课程目标与考核方式'!$D$5*'4、平时成绩'!$D32*0.01+'1、课程目标与考核方式'!$E$5*'4、平时成绩'!$E32*0.01+'1、课程目标与考核方式'!$F$5*'4、平时成绩'!$F32*0.01+'1、课程目标与考核方式'!$G$5*'4、平时成绩'!$G32*0.01)/SUM('1、课程目标与考核方式'!$C$3:$G$3)</f>
        <v>0.821111111111111</v>
      </c>
      <c r="W32">
        <f ca="1">('1、课程目标与考核方式'!$C$6*'4、平时成绩'!$C32*0.01+'1、课程目标与考核方式'!$D$6*'4、平时成绩'!$D32*0.01+'1、课程目标与考核方式'!$E$6*'4、平时成绩'!$E32*0.01+'1、课程目标与考核方式'!$F$6*'4、平时成绩'!$F32*0.01+'1、课程目标与考核方式'!$G$6*'4、平时成绩'!$G32*0.01)/SUM('1、课程目标与考核方式'!$C$3:$G$3)</f>
        <v>0</v>
      </c>
      <c r="X32">
        <f ca="1">('1、课程目标与考核方式'!$C$7*'4、平时成绩'!$C32*0.01+'1、课程目标与考核方式'!$D$7*'4、平时成绩'!$D32*0.01+'1、课程目标与考核方式'!$E$7*'4、平时成绩'!$E32*0.01+'1、课程目标与考核方式'!$F$7*'4、平时成绩'!$F32*0.01+'1、课程目标与考核方式'!$G$7*'4、平时成绩'!$G32*0.01)/SUM('1、课程目标与考核方式'!$C$3:$G$3)</f>
        <v>0</v>
      </c>
      <c r="Y32">
        <f ca="1">('1、课程目标与考核方式'!$C$8*'4、平时成绩'!$C32*0.01+'1、课程目标与考核方式'!$D$8*'4、平时成绩'!$D32*0.01+'1、课程目标与考核方式'!$E$8*'4、平时成绩'!$E32*0.01+'1、课程目标与考核方式'!$F$8*'4、平时成绩'!$F32*0.01+'1、课程目标与考核方式'!$G$8*'4、平时成绩'!$G32*0.01)/SUM('1、课程目标与考核方式'!$C$3:$G$3)</f>
        <v>0</v>
      </c>
      <c r="Z32">
        <f ca="1">('1、课程目标与考核方式'!$C$9*'4、平时成绩'!$C32*0.01+'1、课程目标与考核方式'!$D$9*'4、平时成绩'!$D32*0.01+'1、课程目标与考核方式'!$E$9*'4、平时成绩'!$E32*0.01+'1、课程目标与考核方式'!$F$9*'4、平时成绩'!$F32*0.01+'1、课程目标与考核方式'!$G$9*'4、平时成绩'!$G32*0.01)/SUM('1、课程目标与考核方式'!$C$3:$G$3)</f>
        <v>0</v>
      </c>
      <c r="AA32">
        <f ca="1">('1、课程目标与考核方式'!$C$10*'4、平时成绩'!$C32*0.01+'1、课程目标与考核方式'!$D$10*'4、平时成绩'!$D32*0.01+'1、课程目标与考核方式'!$E$10*'4、平时成绩'!$E32*0.01+'1、课程目标与考核方式'!$F$10*'4、平时成绩'!$F32*0.01+'1、课程目标与考核方式'!$G$10*'4、平时成绩'!$G32*0.01)/SUM('1、课程目标与考核方式'!$C$3:$G$3)</f>
        <v>0</v>
      </c>
      <c r="AB32">
        <f>'3、期末成绩'!C32/'2、试卷（期末题目-课程目标）'!$C$2</f>
        <v>0.95</v>
      </c>
      <c r="AC32">
        <f>'3、期末成绩'!D32/'2、试卷（期末题目-课程目标）'!$C$3</f>
        <v>0.95</v>
      </c>
    </row>
    <row r="33" spans="10:29">
      <c r="J33" s="243" t="str">
        <f>IF(ISBLANK('3、期末成绩'!A33)," ",'3、期末成绩'!A33)</f>
        <v>1653137</v>
      </c>
      <c r="K33" s="244" t="str">
        <f>IF(J33=" "," ",VLOOKUP(J33,'3、期末成绩'!$A$2:$B$201,2,FALSE))</f>
        <v>董静</v>
      </c>
      <c r="L33">
        <f ca="1">0.01*(T33*SUM('1、课程目标与考核方式'!$C$13:$G$13)+AB33*'1、课程目标与考核方式'!$H$13)</f>
        <v>0.712</v>
      </c>
      <c r="M33">
        <f ca="1">0.01*(U33*SUM('1、课程目标与考核方式'!$C$13:$G$13)+AC33*'1、课程目标与考核方式'!$H$13)</f>
        <v>0.712</v>
      </c>
      <c r="N33">
        <f ca="1">0.01*(V33*SUM('1、课程目标与考核方式'!$C$13:$G$13)+AD33*'1、课程目标与考核方式'!$H$13)</f>
        <v>0.237</v>
      </c>
      <c r="O33">
        <f ca="1">0.01*(W33*SUM('1、课程目标与考核方式'!$C$13:$G$13)+AE33*'1、课程目标与考核方式'!$H$13)</f>
        <v>0</v>
      </c>
      <c r="P33">
        <f ca="1">0.01*(X33*SUM('1、课程目标与考核方式'!$C$13:$G$13)+AF33*'1、课程目标与考核方式'!$H$13)</f>
        <v>0</v>
      </c>
      <c r="Q33">
        <f ca="1">0.01*(Y33*SUM('1、课程目标与考核方式'!$C$13:$G$13)+AG33*'1、课程目标与考核方式'!$H$13)</f>
        <v>0</v>
      </c>
      <c r="R33">
        <f ca="1">0.01*(Z33*SUM('1、课程目标与考核方式'!$C$13:$G$13)+AH33*'1、课程目标与考核方式'!$H$13)</f>
        <v>0</v>
      </c>
      <c r="S33">
        <f ca="1">0.01*(AA33*SUM('1、课程目标与考核方式'!$C$13:$G$13)+AI33*'1、课程目标与考核方式'!$H$13)</f>
        <v>0</v>
      </c>
      <c r="T33">
        <f ca="1">('1、课程目标与考核方式'!$C$3*'4、平时成绩'!$C33*0.01+'1、课程目标与考核方式'!$D$3*'4、平时成绩'!$D33*0.01+'1、课程目标与考核方式'!$E$3*'4、平时成绩'!$E33*0.01+'1、课程目标与考核方式'!$F$3*'4、平时成绩'!$F33*0.01+'1、课程目标与考核方式'!$G$3*'4、平时成绩'!$G33*0.01)/SUM('1、课程目标与考核方式'!$C$3:$G$3)</f>
        <v>0.877777777777778</v>
      </c>
      <c r="U33">
        <f ca="1">('1、课程目标与考核方式'!$C$4*'4、平时成绩'!$C33*0.01+'1、课程目标与考核方式'!$D$4*'4、平时成绩'!$D33*0.01+'1、课程目标与考核方式'!$E$4*'4、平时成绩'!$E33*0.01+'1、课程目标与考核方式'!$F$4*'4、平时成绩'!$F33*0.01+'1、课程目标与考核方式'!$G$4*'4、平时成绩'!$G33*0.01)/SUM('1、课程目标与考核方式'!$C$3:$G$3)</f>
        <v>0.877777777777778</v>
      </c>
      <c r="V33">
        <f ca="1">('1、课程目标与考核方式'!$C$5*'4、平时成绩'!$C33*0.01+'1、课程目标与考核方式'!$D$5*'4、平时成绩'!$D33*0.01+'1、课程目标与考核方式'!$E$5*'4、平时成绩'!$E33*0.01+'1、课程目标与考核方式'!$F$5*'4、平时成绩'!$F33*0.01+'1、课程目标与考核方式'!$G$5*'4、平时成绩'!$G33*0.01)/SUM('1、课程目标与考核方式'!$C$3:$G$3)</f>
        <v>0.877777777777778</v>
      </c>
      <c r="W33">
        <f ca="1">('1、课程目标与考核方式'!$C$6*'4、平时成绩'!$C33*0.01+'1、课程目标与考核方式'!$D$6*'4、平时成绩'!$D33*0.01+'1、课程目标与考核方式'!$E$6*'4、平时成绩'!$E33*0.01+'1、课程目标与考核方式'!$F$6*'4、平时成绩'!$F33*0.01+'1、课程目标与考核方式'!$G$6*'4、平时成绩'!$G33*0.01)/SUM('1、课程目标与考核方式'!$C$3:$G$3)</f>
        <v>0</v>
      </c>
      <c r="X33">
        <f ca="1">('1、课程目标与考核方式'!$C$7*'4、平时成绩'!$C33*0.01+'1、课程目标与考核方式'!$D$7*'4、平时成绩'!$D33*0.01+'1、课程目标与考核方式'!$E$7*'4、平时成绩'!$E33*0.01+'1、课程目标与考核方式'!$F$7*'4、平时成绩'!$F33*0.01+'1、课程目标与考核方式'!$G$7*'4、平时成绩'!$G33*0.01)/SUM('1、课程目标与考核方式'!$C$3:$G$3)</f>
        <v>0</v>
      </c>
      <c r="Y33">
        <f ca="1">('1、课程目标与考核方式'!$C$8*'4、平时成绩'!$C33*0.01+'1、课程目标与考核方式'!$D$8*'4、平时成绩'!$D33*0.01+'1、课程目标与考核方式'!$E$8*'4、平时成绩'!$E33*0.01+'1、课程目标与考核方式'!$F$8*'4、平时成绩'!$F33*0.01+'1、课程目标与考核方式'!$G$8*'4、平时成绩'!$G33*0.01)/SUM('1、课程目标与考核方式'!$C$3:$G$3)</f>
        <v>0</v>
      </c>
      <c r="Z33">
        <f ca="1">('1、课程目标与考核方式'!$C$9*'4、平时成绩'!$C33*0.01+'1、课程目标与考核方式'!$D$9*'4、平时成绩'!$D33*0.01+'1、课程目标与考核方式'!$E$9*'4、平时成绩'!$E33*0.01+'1、课程目标与考核方式'!$F$9*'4、平时成绩'!$F33*0.01+'1、课程目标与考核方式'!$G$9*'4、平时成绩'!$G33*0.01)/SUM('1、课程目标与考核方式'!$C$3:$G$3)</f>
        <v>0</v>
      </c>
      <c r="AA33">
        <f ca="1">('1、课程目标与考核方式'!$C$10*'4、平时成绩'!$C33*0.01+'1、课程目标与考核方式'!$D$10*'4、平时成绩'!$D33*0.01+'1、课程目标与考核方式'!$E$10*'4、平时成绩'!$E33*0.01+'1、课程目标与考核方式'!$F$10*'4、平时成绩'!$F33*0.01+'1、课程目标与考核方式'!$G$10*'4、平时成绩'!$G33*0.01)/SUM('1、课程目标与考核方式'!$C$3:$G$3)</f>
        <v>0</v>
      </c>
      <c r="AB33">
        <f>'3、期末成绩'!C33/'2、试卷（期末题目-课程目标）'!$C$2</f>
        <v>0.95</v>
      </c>
      <c r="AC33">
        <f>'3、期末成绩'!D33/'2、试卷（期末题目-课程目标）'!$C$3</f>
        <v>0.95</v>
      </c>
    </row>
    <row r="34" spans="10:29">
      <c r="J34" s="243" t="str">
        <f>IF(ISBLANK('3、期末成绩'!A34)," ",'3、期末成绩'!A34)</f>
        <v>1653138</v>
      </c>
      <c r="K34" s="244" t="str">
        <f>IF(J34=" "," ",VLOOKUP(J34,'3、期末成绩'!$A$2:$B$201,2,FALSE))</f>
        <v>姜星竹</v>
      </c>
      <c r="L34">
        <f ca="1">0.01*(T34*SUM('1、课程目标与考核方式'!$C$13:$G$13)+AB34*'1、课程目标与考核方式'!$H$13)</f>
        <v>0.7213</v>
      </c>
      <c r="M34">
        <f ca="1">0.01*(U34*SUM('1、课程目标与考核方式'!$C$13:$G$13)+AC34*'1、课程目标与考核方式'!$H$13)</f>
        <v>0.7213</v>
      </c>
      <c r="N34">
        <f ca="1">0.01*(V34*SUM('1、课程目标与考核方式'!$C$13:$G$13)+AD34*'1、课程目标与考核方式'!$H$13)</f>
        <v>0.2463</v>
      </c>
      <c r="O34">
        <f ca="1">0.01*(W34*SUM('1、课程目标与考核方式'!$C$13:$G$13)+AE34*'1、课程目标与考核方式'!$H$13)</f>
        <v>0</v>
      </c>
      <c r="P34">
        <f ca="1">0.01*(X34*SUM('1、课程目标与考核方式'!$C$13:$G$13)+AF34*'1、课程目标与考核方式'!$H$13)</f>
        <v>0</v>
      </c>
      <c r="Q34">
        <f ca="1">0.01*(Y34*SUM('1、课程目标与考核方式'!$C$13:$G$13)+AG34*'1、课程目标与考核方式'!$H$13)</f>
        <v>0</v>
      </c>
      <c r="R34">
        <f ca="1">0.01*(Z34*SUM('1、课程目标与考核方式'!$C$13:$G$13)+AH34*'1、课程目标与考核方式'!$H$13)</f>
        <v>0</v>
      </c>
      <c r="S34">
        <f ca="1">0.01*(AA34*SUM('1、课程目标与考核方式'!$C$13:$G$13)+AI34*'1、课程目标与考核方式'!$H$13)</f>
        <v>0</v>
      </c>
      <c r="T34">
        <f ca="1">('1、课程目标与考核方式'!$C$3*'4、平时成绩'!$C34*0.01+'1、课程目标与考核方式'!$D$3*'4、平时成绩'!$D34*0.01+'1、课程目标与考核方式'!$E$3*'4、平时成绩'!$E34*0.01+'1、课程目标与考核方式'!$F$3*'4、平时成绩'!$F34*0.01+'1、课程目标与考核方式'!$G$3*'4、平时成绩'!$G34*0.01)/SUM('1、课程目标与考核方式'!$C$3:$G$3)</f>
        <v>0.912222222222222</v>
      </c>
      <c r="U34">
        <f ca="1">('1、课程目标与考核方式'!$C$4*'4、平时成绩'!$C34*0.01+'1、课程目标与考核方式'!$D$4*'4、平时成绩'!$D34*0.01+'1、课程目标与考核方式'!$E$4*'4、平时成绩'!$E34*0.01+'1、课程目标与考核方式'!$F$4*'4、平时成绩'!$F34*0.01+'1、课程目标与考核方式'!$G$4*'4、平时成绩'!$G34*0.01)/SUM('1、课程目标与考核方式'!$C$3:$G$3)</f>
        <v>0.912222222222222</v>
      </c>
      <c r="V34">
        <f ca="1">('1、课程目标与考核方式'!$C$5*'4、平时成绩'!$C34*0.01+'1、课程目标与考核方式'!$D$5*'4、平时成绩'!$D34*0.01+'1、课程目标与考核方式'!$E$5*'4、平时成绩'!$E34*0.01+'1、课程目标与考核方式'!$F$5*'4、平时成绩'!$F34*0.01+'1、课程目标与考核方式'!$G$5*'4、平时成绩'!$G34*0.01)/SUM('1、课程目标与考核方式'!$C$3:$G$3)</f>
        <v>0.912222222222222</v>
      </c>
      <c r="W34">
        <f ca="1">('1、课程目标与考核方式'!$C$6*'4、平时成绩'!$C34*0.01+'1、课程目标与考核方式'!$D$6*'4、平时成绩'!$D34*0.01+'1、课程目标与考核方式'!$E$6*'4、平时成绩'!$E34*0.01+'1、课程目标与考核方式'!$F$6*'4、平时成绩'!$F34*0.01+'1、课程目标与考核方式'!$G$6*'4、平时成绩'!$G34*0.01)/SUM('1、课程目标与考核方式'!$C$3:$G$3)</f>
        <v>0</v>
      </c>
      <c r="X34">
        <f ca="1">('1、课程目标与考核方式'!$C$7*'4、平时成绩'!$C34*0.01+'1、课程目标与考核方式'!$D$7*'4、平时成绩'!$D34*0.01+'1、课程目标与考核方式'!$E$7*'4、平时成绩'!$E34*0.01+'1、课程目标与考核方式'!$F$7*'4、平时成绩'!$F34*0.01+'1、课程目标与考核方式'!$G$7*'4、平时成绩'!$G34*0.01)/SUM('1、课程目标与考核方式'!$C$3:$G$3)</f>
        <v>0</v>
      </c>
      <c r="Y34">
        <f ca="1">('1、课程目标与考核方式'!$C$8*'4、平时成绩'!$C34*0.01+'1、课程目标与考核方式'!$D$8*'4、平时成绩'!$D34*0.01+'1、课程目标与考核方式'!$E$8*'4、平时成绩'!$E34*0.01+'1、课程目标与考核方式'!$F$8*'4、平时成绩'!$F34*0.01+'1、课程目标与考核方式'!$G$8*'4、平时成绩'!$G34*0.01)/SUM('1、课程目标与考核方式'!$C$3:$G$3)</f>
        <v>0</v>
      </c>
      <c r="Z34">
        <f ca="1">('1、课程目标与考核方式'!$C$9*'4、平时成绩'!$C34*0.01+'1、课程目标与考核方式'!$D$9*'4、平时成绩'!$D34*0.01+'1、课程目标与考核方式'!$E$9*'4、平时成绩'!$E34*0.01+'1、课程目标与考核方式'!$F$9*'4、平时成绩'!$F34*0.01+'1、课程目标与考核方式'!$G$9*'4、平时成绩'!$G34*0.01)/SUM('1、课程目标与考核方式'!$C$3:$G$3)</f>
        <v>0</v>
      </c>
      <c r="AA34">
        <f ca="1">('1、课程目标与考核方式'!$C$10*'4、平时成绩'!$C34*0.01+'1、课程目标与考核方式'!$D$10*'4、平时成绩'!$D34*0.01+'1、课程目标与考核方式'!$E$10*'4、平时成绩'!$E34*0.01+'1、课程目标与考核方式'!$F$10*'4、平时成绩'!$F34*0.01+'1、课程目标与考核方式'!$G$10*'4、平时成绩'!$G34*0.01)/SUM('1、课程目标与考核方式'!$C$3:$G$3)</f>
        <v>0</v>
      </c>
      <c r="AB34">
        <f>'3、期末成绩'!C34/'2、试卷（期末题目-课程目标）'!$C$2</f>
        <v>0.95</v>
      </c>
      <c r="AC34">
        <f>'3、期末成绩'!D34/'2、试卷（期末题目-课程目标）'!$C$3</f>
        <v>0.95</v>
      </c>
    </row>
    <row r="35" spans="10:29">
      <c r="J35" s="243" t="str">
        <f>IF(ISBLANK('3、期末成绩'!A35)," ",'3、期末成绩'!A35)</f>
        <v>1653139</v>
      </c>
      <c r="K35" s="244" t="str">
        <f>IF(J35=" "," ",VLOOKUP(J35,'3、期末成绩'!$A$2:$B$201,2,FALSE))</f>
        <v>李少卿</v>
      </c>
      <c r="L35">
        <f ca="1">0.01*(T35*SUM('1、课程目标与考核方式'!$C$13:$G$13)+AB35*'1、课程目标与考核方式'!$H$13)</f>
        <v>0.7303</v>
      </c>
      <c r="M35">
        <f ca="1">0.01*(U35*SUM('1、课程目标与考核方式'!$C$13:$G$13)+AC35*'1、课程目标与考核方式'!$H$13)</f>
        <v>0.7303</v>
      </c>
      <c r="N35">
        <f ca="1">0.01*(V35*SUM('1、课程目标与考核方式'!$C$13:$G$13)+AD35*'1、课程目标与考核方式'!$H$13)</f>
        <v>0.2553</v>
      </c>
      <c r="O35">
        <f ca="1">0.01*(W35*SUM('1、课程目标与考核方式'!$C$13:$G$13)+AE35*'1、课程目标与考核方式'!$H$13)</f>
        <v>0</v>
      </c>
      <c r="P35">
        <f ca="1">0.01*(X35*SUM('1、课程目标与考核方式'!$C$13:$G$13)+AF35*'1、课程目标与考核方式'!$H$13)</f>
        <v>0</v>
      </c>
      <c r="Q35">
        <f ca="1">0.01*(Y35*SUM('1、课程目标与考核方式'!$C$13:$G$13)+AG35*'1、课程目标与考核方式'!$H$13)</f>
        <v>0</v>
      </c>
      <c r="R35">
        <f ca="1">0.01*(Z35*SUM('1、课程目标与考核方式'!$C$13:$G$13)+AH35*'1、课程目标与考核方式'!$H$13)</f>
        <v>0</v>
      </c>
      <c r="S35">
        <f ca="1">0.01*(AA35*SUM('1、课程目标与考核方式'!$C$13:$G$13)+AI35*'1、课程目标与考核方式'!$H$13)</f>
        <v>0</v>
      </c>
      <c r="T35">
        <f ca="1">('1、课程目标与考核方式'!$C$3*'4、平时成绩'!$C35*0.01+'1、课程目标与考核方式'!$D$3*'4、平时成绩'!$D35*0.01+'1、课程目标与考核方式'!$E$3*'4、平时成绩'!$E35*0.01+'1、课程目标与考核方式'!$F$3*'4、平时成绩'!$F35*0.01+'1、课程目标与考核方式'!$G$3*'4、平时成绩'!$G35*0.01)/SUM('1、课程目标与考核方式'!$C$3:$G$3)</f>
        <v>0.945555555555555</v>
      </c>
      <c r="U35">
        <f ca="1">('1、课程目标与考核方式'!$C$4*'4、平时成绩'!$C35*0.01+'1、课程目标与考核方式'!$D$4*'4、平时成绩'!$D35*0.01+'1、课程目标与考核方式'!$E$4*'4、平时成绩'!$E35*0.01+'1、课程目标与考核方式'!$F$4*'4、平时成绩'!$F35*0.01+'1、课程目标与考核方式'!$G$4*'4、平时成绩'!$G35*0.01)/SUM('1、课程目标与考核方式'!$C$3:$G$3)</f>
        <v>0.945555555555555</v>
      </c>
      <c r="V35">
        <f ca="1">('1、课程目标与考核方式'!$C$5*'4、平时成绩'!$C35*0.01+'1、课程目标与考核方式'!$D$5*'4、平时成绩'!$D35*0.01+'1、课程目标与考核方式'!$E$5*'4、平时成绩'!$E35*0.01+'1、课程目标与考核方式'!$F$5*'4、平时成绩'!$F35*0.01+'1、课程目标与考核方式'!$G$5*'4、平时成绩'!$G35*0.01)/SUM('1、课程目标与考核方式'!$C$3:$G$3)</f>
        <v>0.945555555555555</v>
      </c>
      <c r="W35">
        <f ca="1">('1、课程目标与考核方式'!$C$6*'4、平时成绩'!$C35*0.01+'1、课程目标与考核方式'!$D$6*'4、平时成绩'!$D35*0.01+'1、课程目标与考核方式'!$E$6*'4、平时成绩'!$E35*0.01+'1、课程目标与考核方式'!$F$6*'4、平时成绩'!$F35*0.01+'1、课程目标与考核方式'!$G$6*'4、平时成绩'!$G35*0.01)/SUM('1、课程目标与考核方式'!$C$3:$G$3)</f>
        <v>0</v>
      </c>
      <c r="X35">
        <f ca="1">('1、课程目标与考核方式'!$C$7*'4、平时成绩'!$C35*0.01+'1、课程目标与考核方式'!$D$7*'4、平时成绩'!$D35*0.01+'1、课程目标与考核方式'!$E$7*'4、平时成绩'!$E35*0.01+'1、课程目标与考核方式'!$F$7*'4、平时成绩'!$F35*0.01+'1、课程目标与考核方式'!$G$7*'4、平时成绩'!$G35*0.01)/SUM('1、课程目标与考核方式'!$C$3:$G$3)</f>
        <v>0</v>
      </c>
      <c r="Y35">
        <f ca="1">('1、课程目标与考核方式'!$C$8*'4、平时成绩'!$C35*0.01+'1、课程目标与考核方式'!$D$8*'4、平时成绩'!$D35*0.01+'1、课程目标与考核方式'!$E$8*'4、平时成绩'!$E35*0.01+'1、课程目标与考核方式'!$F$8*'4、平时成绩'!$F35*0.01+'1、课程目标与考核方式'!$G$8*'4、平时成绩'!$G35*0.01)/SUM('1、课程目标与考核方式'!$C$3:$G$3)</f>
        <v>0</v>
      </c>
      <c r="Z35">
        <f ca="1">('1、课程目标与考核方式'!$C$9*'4、平时成绩'!$C35*0.01+'1、课程目标与考核方式'!$D$9*'4、平时成绩'!$D35*0.01+'1、课程目标与考核方式'!$E$9*'4、平时成绩'!$E35*0.01+'1、课程目标与考核方式'!$F$9*'4、平时成绩'!$F35*0.01+'1、课程目标与考核方式'!$G$9*'4、平时成绩'!$G35*0.01)/SUM('1、课程目标与考核方式'!$C$3:$G$3)</f>
        <v>0</v>
      </c>
      <c r="AA35">
        <f ca="1">('1、课程目标与考核方式'!$C$10*'4、平时成绩'!$C35*0.01+'1、课程目标与考核方式'!$D$10*'4、平时成绩'!$D35*0.01+'1、课程目标与考核方式'!$E$10*'4、平时成绩'!$E35*0.01+'1、课程目标与考核方式'!$F$10*'4、平时成绩'!$F35*0.01+'1、课程目标与考核方式'!$G$10*'4、平时成绩'!$G35*0.01)/SUM('1、课程目标与考核方式'!$C$3:$G$3)</f>
        <v>0</v>
      </c>
      <c r="AB35">
        <f>'3、期末成绩'!C35/'2、试卷（期末题目-课程目标）'!$C$2</f>
        <v>0.95</v>
      </c>
      <c r="AC35">
        <f>'3、期末成绩'!D35/'2、试卷（期末题目-课程目标）'!$C$3</f>
        <v>0.95</v>
      </c>
    </row>
    <row r="36" spans="10:29">
      <c r="J36" s="243" t="str">
        <f>IF(ISBLANK('3、期末成绩'!A36)," ",'3、期末成绩'!A36)</f>
        <v>1653140</v>
      </c>
      <c r="K36" s="244" t="str">
        <f>IF(J36=" "," ",VLOOKUP(J36,'3、期末成绩'!$A$2:$B$201,2,FALSE))</f>
        <v>童玉婷</v>
      </c>
      <c r="L36">
        <f ca="1">0.01*(T36*SUM('1、课程目标与考核方式'!$C$13:$G$13)+AB36*'1、课程目标与考核方式'!$H$13)</f>
        <v>0.7042</v>
      </c>
      <c r="M36">
        <f ca="1">0.01*(U36*SUM('1、课程目标与考核方式'!$C$13:$G$13)+AC36*'1、课程目标与考核方式'!$H$13)</f>
        <v>0.7042</v>
      </c>
      <c r="N36">
        <f ca="1">0.01*(V36*SUM('1、课程目标与考核方式'!$C$13:$G$13)+AD36*'1、课程目标与考核方式'!$H$13)</f>
        <v>0.2292</v>
      </c>
      <c r="O36">
        <f ca="1">0.01*(W36*SUM('1、课程目标与考核方式'!$C$13:$G$13)+AE36*'1、课程目标与考核方式'!$H$13)</f>
        <v>0</v>
      </c>
      <c r="P36">
        <f ca="1">0.01*(X36*SUM('1、课程目标与考核方式'!$C$13:$G$13)+AF36*'1、课程目标与考核方式'!$H$13)</f>
        <v>0</v>
      </c>
      <c r="Q36">
        <f ca="1">0.01*(Y36*SUM('1、课程目标与考核方式'!$C$13:$G$13)+AG36*'1、课程目标与考核方式'!$H$13)</f>
        <v>0</v>
      </c>
      <c r="R36">
        <f ca="1">0.01*(Z36*SUM('1、课程目标与考核方式'!$C$13:$G$13)+AH36*'1、课程目标与考核方式'!$H$13)</f>
        <v>0</v>
      </c>
      <c r="S36">
        <f ca="1">0.01*(AA36*SUM('1、课程目标与考核方式'!$C$13:$G$13)+AI36*'1、课程目标与考核方式'!$H$13)</f>
        <v>0</v>
      </c>
      <c r="T36">
        <f ca="1">('1、课程目标与考核方式'!$C$3*'4、平时成绩'!$C36*0.01+'1、课程目标与考核方式'!$D$3*'4、平时成绩'!$D36*0.01+'1、课程目标与考核方式'!$E$3*'4、平时成绩'!$E36*0.01+'1、课程目标与考核方式'!$F$3*'4、平时成绩'!$F36*0.01+'1、课程目标与考核方式'!$G$3*'4、平时成绩'!$G36*0.01)/SUM('1、课程目标与考核方式'!$C$3:$G$3)</f>
        <v>0.848888888888889</v>
      </c>
      <c r="U36">
        <f ca="1">('1、课程目标与考核方式'!$C$4*'4、平时成绩'!$C36*0.01+'1、课程目标与考核方式'!$D$4*'4、平时成绩'!$D36*0.01+'1、课程目标与考核方式'!$E$4*'4、平时成绩'!$E36*0.01+'1、课程目标与考核方式'!$F$4*'4、平时成绩'!$F36*0.01+'1、课程目标与考核方式'!$G$4*'4、平时成绩'!$G36*0.01)/SUM('1、课程目标与考核方式'!$C$3:$G$3)</f>
        <v>0.848888888888889</v>
      </c>
      <c r="V36">
        <f ca="1">('1、课程目标与考核方式'!$C$5*'4、平时成绩'!$C36*0.01+'1、课程目标与考核方式'!$D$5*'4、平时成绩'!$D36*0.01+'1、课程目标与考核方式'!$E$5*'4、平时成绩'!$E36*0.01+'1、课程目标与考核方式'!$F$5*'4、平时成绩'!$F36*0.01+'1、课程目标与考核方式'!$G$5*'4、平时成绩'!$G36*0.01)/SUM('1、课程目标与考核方式'!$C$3:$G$3)</f>
        <v>0.848888888888889</v>
      </c>
      <c r="W36">
        <f ca="1">('1、课程目标与考核方式'!$C$6*'4、平时成绩'!$C36*0.01+'1、课程目标与考核方式'!$D$6*'4、平时成绩'!$D36*0.01+'1、课程目标与考核方式'!$E$6*'4、平时成绩'!$E36*0.01+'1、课程目标与考核方式'!$F$6*'4、平时成绩'!$F36*0.01+'1、课程目标与考核方式'!$G$6*'4、平时成绩'!$G36*0.01)/SUM('1、课程目标与考核方式'!$C$3:$G$3)</f>
        <v>0</v>
      </c>
      <c r="X36">
        <f ca="1">('1、课程目标与考核方式'!$C$7*'4、平时成绩'!$C36*0.01+'1、课程目标与考核方式'!$D$7*'4、平时成绩'!$D36*0.01+'1、课程目标与考核方式'!$E$7*'4、平时成绩'!$E36*0.01+'1、课程目标与考核方式'!$F$7*'4、平时成绩'!$F36*0.01+'1、课程目标与考核方式'!$G$7*'4、平时成绩'!$G36*0.01)/SUM('1、课程目标与考核方式'!$C$3:$G$3)</f>
        <v>0</v>
      </c>
      <c r="Y36">
        <f ca="1">('1、课程目标与考核方式'!$C$8*'4、平时成绩'!$C36*0.01+'1、课程目标与考核方式'!$D$8*'4、平时成绩'!$D36*0.01+'1、课程目标与考核方式'!$E$8*'4、平时成绩'!$E36*0.01+'1、课程目标与考核方式'!$F$8*'4、平时成绩'!$F36*0.01+'1、课程目标与考核方式'!$G$8*'4、平时成绩'!$G36*0.01)/SUM('1、课程目标与考核方式'!$C$3:$G$3)</f>
        <v>0</v>
      </c>
      <c r="Z36">
        <f ca="1">('1、课程目标与考核方式'!$C$9*'4、平时成绩'!$C36*0.01+'1、课程目标与考核方式'!$D$9*'4、平时成绩'!$D36*0.01+'1、课程目标与考核方式'!$E$9*'4、平时成绩'!$E36*0.01+'1、课程目标与考核方式'!$F$9*'4、平时成绩'!$F36*0.01+'1、课程目标与考核方式'!$G$9*'4、平时成绩'!$G36*0.01)/SUM('1、课程目标与考核方式'!$C$3:$G$3)</f>
        <v>0</v>
      </c>
      <c r="AA36">
        <f ca="1">('1、课程目标与考核方式'!$C$10*'4、平时成绩'!$C36*0.01+'1、课程目标与考核方式'!$D$10*'4、平时成绩'!$D36*0.01+'1、课程目标与考核方式'!$E$10*'4、平时成绩'!$E36*0.01+'1、课程目标与考核方式'!$F$10*'4、平时成绩'!$F36*0.01+'1、课程目标与考核方式'!$G$10*'4、平时成绩'!$G36*0.01)/SUM('1、课程目标与考核方式'!$C$3:$G$3)</f>
        <v>0</v>
      </c>
      <c r="AB36">
        <f>'3、期末成绩'!C36/'2、试卷（期末题目-课程目标）'!$C$2</f>
        <v>0.95</v>
      </c>
      <c r="AC36">
        <f>'3、期末成绩'!D36/'2、试卷（期末题目-课程目标）'!$C$3</f>
        <v>0.95</v>
      </c>
    </row>
    <row r="37" spans="10:29">
      <c r="J37" s="243" t="str">
        <f>IF(ISBLANK('3、期末成绩'!A37)," ",'3、期末成绩'!A37)</f>
        <v>1653201</v>
      </c>
      <c r="K37" s="244" t="str">
        <f>IF(J37=" "," ",VLOOKUP(J37,'3、期末成绩'!$A$2:$B$201,2,FALSE))</f>
        <v>陈匡桦</v>
      </c>
      <c r="L37">
        <f ca="1">0.01*(T37*SUM('1、课程目标与考核方式'!$C$13:$G$13)+AB37*'1、课程目标与考核方式'!$H$13)</f>
        <v>0.7006</v>
      </c>
      <c r="M37">
        <f ca="1">0.01*(U37*SUM('1、课程目标与考核方式'!$C$13:$G$13)+AC37*'1、课程目标与考核方式'!$H$13)</f>
        <v>0.7006</v>
      </c>
      <c r="N37">
        <f ca="1">0.01*(V37*SUM('1、课程目标与考核方式'!$C$13:$G$13)+AD37*'1、课程目标与考核方式'!$H$13)</f>
        <v>0.2256</v>
      </c>
      <c r="O37">
        <f ca="1">0.01*(W37*SUM('1、课程目标与考核方式'!$C$13:$G$13)+AE37*'1、课程目标与考核方式'!$H$13)</f>
        <v>0</v>
      </c>
      <c r="P37">
        <f ca="1">0.01*(X37*SUM('1、课程目标与考核方式'!$C$13:$G$13)+AF37*'1、课程目标与考核方式'!$H$13)</f>
        <v>0</v>
      </c>
      <c r="Q37">
        <f ca="1">0.01*(Y37*SUM('1、课程目标与考核方式'!$C$13:$G$13)+AG37*'1、课程目标与考核方式'!$H$13)</f>
        <v>0</v>
      </c>
      <c r="R37">
        <f ca="1">0.01*(Z37*SUM('1、课程目标与考核方式'!$C$13:$G$13)+AH37*'1、课程目标与考核方式'!$H$13)</f>
        <v>0</v>
      </c>
      <c r="S37">
        <f ca="1">0.01*(AA37*SUM('1、课程目标与考核方式'!$C$13:$G$13)+AI37*'1、课程目标与考核方式'!$H$13)</f>
        <v>0</v>
      </c>
      <c r="T37">
        <f ca="1">('1、课程目标与考核方式'!$C$3*'4、平时成绩'!$C37*0.01+'1、课程目标与考核方式'!$D$3*'4、平时成绩'!$D37*0.01+'1、课程目标与考核方式'!$E$3*'4、平时成绩'!$E37*0.01+'1、课程目标与考核方式'!$F$3*'4、平时成绩'!$F37*0.01+'1、课程目标与考核方式'!$G$3*'4、平时成绩'!$G37*0.01)/SUM('1、课程目标与考核方式'!$C$3:$G$3)</f>
        <v>0.835555555555556</v>
      </c>
      <c r="U37">
        <f ca="1">('1、课程目标与考核方式'!$C$4*'4、平时成绩'!$C37*0.01+'1、课程目标与考核方式'!$D$4*'4、平时成绩'!$D37*0.01+'1、课程目标与考核方式'!$E$4*'4、平时成绩'!$E37*0.01+'1、课程目标与考核方式'!$F$4*'4、平时成绩'!$F37*0.01+'1、课程目标与考核方式'!$G$4*'4、平时成绩'!$G37*0.01)/SUM('1、课程目标与考核方式'!$C$3:$G$3)</f>
        <v>0.835555555555556</v>
      </c>
      <c r="V37">
        <f ca="1">('1、课程目标与考核方式'!$C$5*'4、平时成绩'!$C37*0.01+'1、课程目标与考核方式'!$D$5*'4、平时成绩'!$D37*0.01+'1、课程目标与考核方式'!$E$5*'4、平时成绩'!$E37*0.01+'1、课程目标与考核方式'!$F$5*'4、平时成绩'!$F37*0.01+'1、课程目标与考核方式'!$G$5*'4、平时成绩'!$G37*0.01)/SUM('1、课程目标与考核方式'!$C$3:$G$3)</f>
        <v>0.835555555555556</v>
      </c>
      <c r="W37">
        <f ca="1">('1、课程目标与考核方式'!$C$6*'4、平时成绩'!$C37*0.01+'1、课程目标与考核方式'!$D$6*'4、平时成绩'!$D37*0.01+'1、课程目标与考核方式'!$E$6*'4、平时成绩'!$E37*0.01+'1、课程目标与考核方式'!$F$6*'4、平时成绩'!$F37*0.01+'1、课程目标与考核方式'!$G$6*'4、平时成绩'!$G37*0.01)/SUM('1、课程目标与考核方式'!$C$3:$G$3)</f>
        <v>0</v>
      </c>
      <c r="X37">
        <f ca="1">('1、课程目标与考核方式'!$C$7*'4、平时成绩'!$C37*0.01+'1、课程目标与考核方式'!$D$7*'4、平时成绩'!$D37*0.01+'1、课程目标与考核方式'!$E$7*'4、平时成绩'!$E37*0.01+'1、课程目标与考核方式'!$F$7*'4、平时成绩'!$F37*0.01+'1、课程目标与考核方式'!$G$7*'4、平时成绩'!$G37*0.01)/SUM('1、课程目标与考核方式'!$C$3:$G$3)</f>
        <v>0</v>
      </c>
      <c r="Y37">
        <f ca="1">('1、课程目标与考核方式'!$C$8*'4、平时成绩'!$C37*0.01+'1、课程目标与考核方式'!$D$8*'4、平时成绩'!$D37*0.01+'1、课程目标与考核方式'!$E$8*'4、平时成绩'!$E37*0.01+'1、课程目标与考核方式'!$F$8*'4、平时成绩'!$F37*0.01+'1、课程目标与考核方式'!$G$8*'4、平时成绩'!$G37*0.01)/SUM('1、课程目标与考核方式'!$C$3:$G$3)</f>
        <v>0</v>
      </c>
      <c r="Z37">
        <f ca="1">('1、课程目标与考核方式'!$C$9*'4、平时成绩'!$C37*0.01+'1、课程目标与考核方式'!$D$9*'4、平时成绩'!$D37*0.01+'1、课程目标与考核方式'!$E$9*'4、平时成绩'!$E37*0.01+'1、课程目标与考核方式'!$F$9*'4、平时成绩'!$F37*0.01+'1、课程目标与考核方式'!$G$9*'4、平时成绩'!$G37*0.01)/SUM('1、课程目标与考核方式'!$C$3:$G$3)</f>
        <v>0</v>
      </c>
      <c r="AA37">
        <f ca="1">('1、课程目标与考核方式'!$C$10*'4、平时成绩'!$C37*0.01+'1、课程目标与考核方式'!$D$10*'4、平时成绩'!$D37*0.01+'1、课程目标与考核方式'!$E$10*'4、平时成绩'!$E37*0.01+'1、课程目标与考核方式'!$F$10*'4、平时成绩'!$F37*0.01+'1、课程目标与考核方式'!$G$10*'4、平时成绩'!$G37*0.01)/SUM('1、课程目标与考核方式'!$C$3:$G$3)</f>
        <v>0</v>
      </c>
      <c r="AB37">
        <f>'3、期末成绩'!C37/'2、试卷（期末题目-课程目标）'!$C$2</f>
        <v>0.95</v>
      </c>
      <c r="AC37">
        <f>'3、期末成绩'!D37/'2、试卷（期末题目-课程目标）'!$C$3</f>
        <v>0.95</v>
      </c>
    </row>
    <row r="38" spans="10:29">
      <c r="J38" s="243" t="str">
        <f>IF(ISBLANK('3、期末成绩'!A38)," ",'3、期末成绩'!A38)</f>
        <v>1653202</v>
      </c>
      <c r="K38" s="244" t="str">
        <f>IF(J38=" "," ",VLOOKUP(J38,'3、期末成绩'!$A$2:$B$201,2,FALSE))</f>
        <v>蔡文燕</v>
      </c>
      <c r="L38">
        <f ca="1">0.01*(T38*SUM('1、课程目标与考核方式'!$C$13:$G$13)+AB38*'1、课程目标与考核方式'!$H$13)</f>
        <v>0.6847</v>
      </c>
      <c r="M38">
        <f ca="1">0.01*(U38*SUM('1、课程目标与考核方式'!$C$13:$G$13)+AC38*'1、课程目标与考核方式'!$H$13)</f>
        <v>0.6847</v>
      </c>
      <c r="N38">
        <f ca="1">0.01*(V38*SUM('1、课程目标与考核方式'!$C$13:$G$13)+AD38*'1、课程目标与考核方式'!$H$13)</f>
        <v>0.2097</v>
      </c>
      <c r="O38">
        <f ca="1">0.01*(W38*SUM('1、课程目标与考核方式'!$C$13:$G$13)+AE38*'1、课程目标与考核方式'!$H$13)</f>
        <v>0</v>
      </c>
      <c r="P38">
        <f ca="1">0.01*(X38*SUM('1、课程目标与考核方式'!$C$13:$G$13)+AF38*'1、课程目标与考核方式'!$H$13)</f>
        <v>0</v>
      </c>
      <c r="Q38">
        <f ca="1">0.01*(Y38*SUM('1、课程目标与考核方式'!$C$13:$G$13)+AG38*'1、课程目标与考核方式'!$H$13)</f>
        <v>0</v>
      </c>
      <c r="R38">
        <f ca="1">0.01*(Z38*SUM('1、课程目标与考核方式'!$C$13:$G$13)+AH38*'1、课程目标与考核方式'!$H$13)</f>
        <v>0</v>
      </c>
      <c r="S38">
        <f ca="1">0.01*(AA38*SUM('1、课程目标与考核方式'!$C$13:$G$13)+AI38*'1、课程目标与考核方式'!$H$13)</f>
        <v>0</v>
      </c>
      <c r="T38">
        <f ca="1">('1、课程目标与考核方式'!$C$3*'4、平时成绩'!$C38*0.01+'1、课程目标与考核方式'!$D$3*'4、平时成绩'!$D38*0.01+'1、课程目标与考核方式'!$E$3*'4、平时成绩'!$E38*0.01+'1、课程目标与考核方式'!$F$3*'4、平时成绩'!$F38*0.01+'1、课程目标与考核方式'!$G$3*'4、平时成绩'!$G38*0.01)/SUM('1、课程目标与考核方式'!$C$3:$G$3)</f>
        <v>0.776666666666667</v>
      </c>
      <c r="U38">
        <f ca="1">('1、课程目标与考核方式'!$C$4*'4、平时成绩'!$C38*0.01+'1、课程目标与考核方式'!$D$4*'4、平时成绩'!$D38*0.01+'1、课程目标与考核方式'!$E$4*'4、平时成绩'!$E38*0.01+'1、课程目标与考核方式'!$F$4*'4、平时成绩'!$F38*0.01+'1、课程目标与考核方式'!$G$4*'4、平时成绩'!$G38*0.01)/SUM('1、课程目标与考核方式'!$C$3:$G$3)</f>
        <v>0.776666666666667</v>
      </c>
      <c r="V38">
        <f ca="1">('1、课程目标与考核方式'!$C$5*'4、平时成绩'!$C38*0.01+'1、课程目标与考核方式'!$D$5*'4、平时成绩'!$D38*0.01+'1、课程目标与考核方式'!$E$5*'4、平时成绩'!$E38*0.01+'1、课程目标与考核方式'!$F$5*'4、平时成绩'!$F38*0.01+'1、课程目标与考核方式'!$G$5*'4、平时成绩'!$G38*0.01)/SUM('1、课程目标与考核方式'!$C$3:$G$3)</f>
        <v>0.776666666666667</v>
      </c>
      <c r="W38">
        <f ca="1">('1、课程目标与考核方式'!$C$6*'4、平时成绩'!$C38*0.01+'1、课程目标与考核方式'!$D$6*'4、平时成绩'!$D38*0.01+'1、课程目标与考核方式'!$E$6*'4、平时成绩'!$E38*0.01+'1、课程目标与考核方式'!$F$6*'4、平时成绩'!$F38*0.01+'1、课程目标与考核方式'!$G$6*'4、平时成绩'!$G38*0.01)/SUM('1、课程目标与考核方式'!$C$3:$G$3)</f>
        <v>0</v>
      </c>
      <c r="X38">
        <f ca="1">('1、课程目标与考核方式'!$C$7*'4、平时成绩'!$C38*0.01+'1、课程目标与考核方式'!$D$7*'4、平时成绩'!$D38*0.01+'1、课程目标与考核方式'!$E$7*'4、平时成绩'!$E38*0.01+'1、课程目标与考核方式'!$F$7*'4、平时成绩'!$F38*0.01+'1、课程目标与考核方式'!$G$7*'4、平时成绩'!$G38*0.01)/SUM('1、课程目标与考核方式'!$C$3:$G$3)</f>
        <v>0</v>
      </c>
      <c r="Y38">
        <f ca="1">('1、课程目标与考核方式'!$C$8*'4、平时成绩'!$C38*0.01+'1、课程目标与考核方式'!$D$8*'4、平时成绩'!$D38*0.01+'1、课程目标与考核方式'!$E$8*'4、平时成绩'!$E38*0.01+'1、课程目标与考核方式'!$F$8*'4、平时成绩'!$F38*0.01+'1、课程目标与考核方式'!$G$8*'4、平时成绩'!$G38*0.01)/SUM('1、课程目标与考核方式'!$C$3:$G$3)</f>
        <v>0</v>
      </c>
      <c r="Z38">
        <f ca="1">('1、课程目标与考核方式'!$C$9*'4、平时成绩'!$C38*0.01+'1、课程目标与考核方式'!$D$9*'4、平时成绩'!$D38*0.01+'1、课程目标与考核方式'!$E$9*'4、平时成绩'!$E38*0.01+'1、课程目标与考核方式'!$F$9*'4、平时成绩'!$F38*0.01+'1、课程目标与考核方式'!$G$9*'4、平时成绩'!$G38*0.01)/SUM('1、课程目标与考核方式'!$C$3:$G$3)</f>
        <v>0</v>
      </c>
      <c r="AA38">
        <f ca="1">('1、课程目标与考核方式'!$C$10*'4、平时成绩'!$C38*0.01+'1、课程目标与考核方式'!$D$10*'4、平时成绩'!$D38*0.01+'1、课程目标与考核方式'!$E$10*'4、平时成绩'!$E38*0.01+'1、课程目标与考核方式'!$F$10*'4、平时成绩'!$F38*0.01+'1、课程目标与考核方式'!$G$10*'4、平时成绩'!$G38*0.01)/SUM('1、课程目标与考核方式'!$C$3:$G$3)</f>
        <v>0</v>
      </c>
      <c r="AB38">
        <f>'3、期末成绩'!C38/'2、试卷（期末题目-课程目标）'!$C$2</f>
        <v>0.95</v>
      </c>
      <c r="AC38">
        <f>'3、期末成绩'!D38/'2、试卷（期末题目-课程目标）'!$C$3</f>
        <v>0.95</v>
      </c>
    </row>
    <row r="39" spans="10:29">
      <c r="J39" s="243" t="str">
        <f>IF(ISBLANK('3、期末成绩'!A39)," ",'3、期末成绩'!A39)</f>
        <v>1653203</v>
      </c>
      <c r="K39" s="244" t="str">
        <f>IF(J39=" "," ",VLOOKUP(J39,'3、期末成绩'!$A$2:$B$201,2,FALSE))</f>
        <v>沈晓羽</v>
      </c>
      <c r="L39">
        <f ca="1">0.01*(T39*SUM('1、课程目标与考核方式'!$C$13:$G$13)+AB39*'1、课程目标与考核方式'!$H$13)</f>
        <v>0.7273</v>
      </c>
      <c r="M39">
        <f ca="1">0.01*(U39*SUM('1、课程目标与考核方式'!$C$13:$G$13)+AC39*'1、课程目标与考核方式'!$H$13)</f>
        <v>0.7273</v>
      </c>
      <c r="N39">
        <f ca="1">0.01*(V39*SUM('1、课程目标与考核方式'!$C$13:$G$13)+AD39*'1、课程目标与考核方式'!$H$13)</f>
        <v>0.2523</v>
      </c>
      <c r="O39">
        <f ca="1">0.01*(W39*SUM('1、课程目标与考核方式'!$C$13:$G$13)+AE39*'1、课程目标与考核方式'!$H$13)</f>
        <v>0</v>
      </c>
      <c r="P39">
        <f ca="1">0.01*(X39*SUM('1、课程目标与考核方式'!$C$13:$G$13)+AF39*'1、课程目标与考核方式'!$H$13)</f>
        <v>0</v>
      </c>
      <c r="Q39">
        <f ca="1">0.01*(Y39*SUM('1、课程目标与考核方式'!$C$13:$G$13)+AG39*'1、课程目标与考核方式'!$H$13)</f>
        <v>0</v>
      </c>
      <c r="R39">
        <f ca="1">0.01*(Z39*SUM('1、课程目标与考核方式'!$C$13:$G$13)+AH39*'1、课程目标与考核方式'!$H$13)</f>
        <v>0</v>
      </c>
      <c r="S39">
        <f ca="1">0.01*(AA39*SUM('1、课程目标与考核方式'!$C$13:$G$13)+AI39*'1、课程目标与考核方式'!$H$13)</f>
        <v>0</v>
      </c>
      <c r="T39">
        <f ca="1">('1、课程目标与考核方式'!$C$3*'4、平时成绩'!$C39*0.01+'1、课程目标与考核方式'!$D$3*'4、平时成绩'!$D39*0.01+'1、课程目标与考核方式'!$E$3*'4、平时成绩'!$E39*0.01+'1、课程目标与考核方式'!$F$3*'4、平时成绩'!$F39*0.01+'1、课程目标与考核方式'!$G$3*'4、平时成绩'!$G39*0.01)/SUM('1、课程目标与考核方式'!$C$3:$G$3)</f>
        <v>0.934444444444444</v>
      </c>
      <c r="U39">
        <f ca="1">('1、课程目标与考核方式'!$C$4*'4、平时成绩'!$C39*0.01+'1、课程目标与考核方式'!$D$4*'4、平时成绩'!$D39*0.01+'1、课程目标与考核方式'!$E$4*'4、平时成绩'!$E39*0.01+'1、课程目标与考核方式'!$F$4*'4、平时成绩'!$F39*0.01+'1、课程目标与考核方式'!$G$4*'4、平时成绩'!$G39*0.01)/SUM('1、课程目标与考核方式'!$C$3:$G$3)</f>
        <v>0.934444444444444</v>
      </c>
      <c r="V39">
        <f ca="1">('1、课程目标与考核方式'!$C$5*'4、平时成绩'!$C39*0.01+'1、课程目标与考核方式'!$D$5*'4、平时成绩'!$D39*0.01+'1、课程目标与考核方式'!$E$5*'4、平时成绩'!$E39*0.01+'1、课程目标与考核方式'!$F$5*'4、平时成绩'!$F39*0.01+'1、课程目标与考核方式'!$G$5*'4、平时成绩'!$G39*0.01)/SUM('1、课程目标与考核方式'!$C$3:$G$3)</f>
        <v>0.934444444444444</v>
      </c>
      <c r="W39">
        <f ca="1">('1、课程目标与考核方式'!$C$6*'4、平时成绩'!$C39*0.01+'1、课程目标与考核方式'!$D$6*'4、平时成绩'!$D39*0.01+'1、课程目标与考核方式'!$E$6*'4、平时成绩'!$E39*0.01+'1、课程目标与考核方式'!$F$6*'4、平时成绩'!$F39*0.01+'1、课程目标与考核方式'!$G$6*'4、平时成绩'!$G39*0.01)/SUM('1、课程目标与考核方式'!$C$3:$G$3)</f>
        <v>0</v>
      </c>
      <c r="X39">
        <f ca="1">('1、课程目标与考核方式'!$C$7*'4、平时成绩'!$C39*0.01+'1、课程目标与考核方式'!$D$7*'4、平时成绩'!$D39*0.01+'1、课程目标与考核方式'!$E$7*'4、平时成绩'!$E39*0.01+'1、课程目标与考核方式'!$F$7*'4、平时成绩'!$F39*0.01+'1、课程目标与考核方式'!$G$7*'4、平时成绩'!$G39*0.01)/SUM('1、课程目标与考核方式'!$C$3:$G$3)</f>
        <v>0</v>
      </c>
      <c r="Y39">
        <f ca="1">('1、课程目标与考核方式'!$C$8*'4、平时成绩'!$C39*0.01+'1、课程目标与考核方式'!$D$8*'4、平时成绩'!$D39*0.01+'1、课程目标与考核方式'!$E$8*'4、平时成绩'!$E39*0.01+'1、课程目标与考核方式'!$F$8*'4、平时成绩'!$F39*0.01+'1、课程目标与考核方式'!$G$8*'4、平时成绩'!$G39*0.01)/SUM('1、课程目标与考核方式'!$C$3:$G$3)</f>
        <v>0</v>
      </c>
      <c r="Z39">
        <f ca="1">('1、课程目标与考核方式'!$C$9*'4、平时成绩'!$C39*0.01+'1、课程目标与考核方式'!$D$9*'4、平时成绩'!$D39*0.01+'1、课程目标与考核方式'!$E$9*'4、平时成绩'!$E39*0.01+'1、课程目标与考核方式'!$F$9*'4、平时成绩'!$F39*0.01+'1、课程目标与考核方式'!$G$9*'4、平时成绩'!$G39*0.01)/SUM('1、课程目标与考核方式'!$C$3:$G$3)</f>
        <v>0</v>
      </c>
      <c r="AA39">
        <f ca="1">('1、课程目标与考核方式'!$C$10*'4、平时成绩'!$C39*0.01+'1、课程目标与考核方式'!$D$10*'4、平时成绩'!$D39*0.01+'1、课程目标与考核方式'!$E$10*'4、平时成绩'!$E39*0.01+'1、课程目标与考核方式'!$F$10*'4、平时成绩'!$F39*0.01+'1、课程目标与考核方式'!$G$10*'4、平时成绩'!$G39*0.01)/SUM('1、课程目标与考核方式'!$C$3:$G$3)</f>
        <v>0</v>
      </c>
      <c r="AB39">
        <f>'3、期末成绩'!C39/'2、试卷（期末题目-课程目标）'!$C$2</f>
        <v>0.95</v>
      </c>
      <c r="AC39">
        <f>'3、期末成绩'!D39/'2、试卷（期末题目-课程目标）'!$C$3</f>
        <v>0.95</v>
      </c>
    </row>
    <row r="40" spans="10:29">
      <c r="J40" s="243" t="str">
        <f>IF(ISBLANK('3、期末成绩'!A40)," ",'3、期末成绩'!A40)</f>
        <v>1653204</v>
      </c>
      <c r="K40" s="244" t="str">
        <f>IF(J40=" "," ",VLOOKUP(J40,'3、期末成绩'!$A$2:$B$201,2,FALSE))</f>
        <v>宋睿昕</v>
      </c>
      <c r="L40">
        <f ca="1">0.01*(T40*SUM('1、课程目标与考核方式'!$C$13:$G$13)+AB40*'1、课程目标与考核方式'!$H$13)</f>
        <v>0.6895</v>
      </c>
      <c r="M40">
        <f ca="1">0.01*(U40*SUM('1、课程目标与考核方式'!$C$13:$G$13)+AC40*'1、课程目标与考核方式'!$H$13)</f>
        <v>0.6895</v>
      </c>
      <c r="N40">
        <f ca="1">0.01*(V40*SUM('1、课程目标与考核方式'!$C$13:$G$13)+AD40*'1、课程目标与考核方式'!$H$13)</f>
        <v>0.2145</v>
      </c>
      <c r="O40">
        <f ca="1">0.01*(W40*SUM('1、课程目标与考核方式'!$C$13:$G$13)+AE40*'1、课程目标与考核方式'!$H$13)</f>
        <v>0</v>
      </c>
      <c r="P40">
        <f ca="1">0.01*(X40*SUM('1、课程目标与考核方式'!$C$13:$G$13)+AF40*'1、课程目标与考核方式'!$H$13)</f>
        <v>0</v>
      </c>
      <c r="Q40">
        <f ca="1">0.01*(Y40*SUM('1、课程目标与考核方式'!$C$13:$G$13)+AG40*'1、课程目标与考核方式'!$H$13)</f>
        <v>0</v>
      </c>
      <c r="R40">
        <f ca="1">0.01*(Z40*SUM('1、课程目标与考核方式'!$C$13:$G$13)+AH40*'1、课程目标与考核方式'!$H$13)</f>
        <v>0</v>
      </c>
      <c r="S40">
        <f ca="1">0.01*(AA40*SUM('1、课程目标与考核方式'!$C$13:$G$13)+AI40*'1、课程目标与考核方式'!$H$13)</f>
        <v>0</v>
      </c>
      <c r="T40">
        <f ca="1">('1、课程目标与考核方式'!$C$3*'4、平时成绩'!$C40*0.01+'1、课程目标与考核方式'!$D$3*'4、平时成绩'!$D40*0.01+'1、课程目标与考核方式'!$E$3*'4、平时成绩'!$E40*0.01+'1、课程目标与考核方式'!$F$3*'4、平时成绩'!$F40*0.01+'1、课程目标与考核方式'!$G$3*'4、平时成绩'!$G40*0.01)/SUM('1、课程目标与考核方式'!$C$3:$G$3)</f>
        <v>0.794444444444445</v>
      </c>
      <c r="U40">
        <f ca="1">('1、课程目标与考核方式'!$C$4*'4、平时成绩'!$C40*0.01+'1、课程目标与考核方式'!$D$4*'4、平时成绩'!$D40*0.01+'1、课程目标与考核方式'!$E$4*'4、平时成绩'!$E40*0.01+'1、课程目标与考核方式'!$F$4*'4、平时成绩'!$F40*0.01+'1、课程目标与考核方式'!$G$4*'4、平时成绩'!$G40*0.01)/SUM('1、课程目标与考核方式'!$C$3:$G$3)</f>
        <v>0.794444444444445</v>
      </c>
      <c r="V40">
        <f ca="1">('1、课程目标与考核方式'!$C$5*'4、平时成绩'!$C40*0.01+'1、课程目标与考核方式'!$D$5*'4、平时成绩'!$D40*0.01+'1、课程目标与考核方式'!$E$5*'4、平时成绩'!$E40*0.01+'1、课程目标与考核方式'!$F$5*'4、平时成绩'!$F40*0.01+'1、课程目标与考核方式'!$G$5*'4、平时成绩'!$G40*0.01)/SUM('1、课程目标与考核方式'!$C$3:$G$3)</f>
        <v>0.794444444444445</v>
      </c>
      <c r="W40">
        <f ca="1">('1、课程目标与考核方式'!$C$6*'4、平时成绩'!$C40*0.01+'1、课程目标与考核方式'!$D$6*'4、平时成绩'!$D40*0.01+'1、课程目标与考核方式'!$E$6*'4、平时成绩'!$E40*0.01+'1、课程目标与考核方式'!$F$6*'4、平时成绩'!$F40*0.01+'1、课程目标与考核方式'!$G$6*'4、平时成绩'!$G40*0.01)/SUM('1、课程目标与考核方式'!$C$3:$G$3)</f>
        <v>0</v>
      </c>
      <c r="X40">
        <f ca="1">('1、课程目标与考核方式'!$C$7*'4、平时成绩'!$C40*0.01+'1、课程目标与考核方式'!$D$7*'4、平时成绩'!$D40*0.01+'1、课程目标与考核方式'!$E$7*'4、平时成绩'!$E40*0.01+'1、课程目标与考核方式'!$F$7*'4、平时成绩'!$F40*0.01+'1、课程目标与考核方式'!$G$7*'4、平时成绩'!$G40*0.01)/SUM('1、课程目标与考核方式'!$C$3:$G$3)</f>
        <v>0</v>
      </c>
      <c r="Y40">
        <f ca="1">('1、课程目标与考核方式'!$C$8*'4、平时成绩'!$C40*0.01+'1、课程目标与考核方式'!$D$8*'4、平时成绩'!$D40*0.01+'1、课程目标与考核方式'!$E$8*'4、平时成绩'!$E40*0.01+'1、课程目标与考核方式'!$F$8*'4、平时成绩'!$F40*0.01+'1、课程目标与考核方式'!$G$8*'4、平时成绩'!$G40*0.01)/SUM('1、课程目标与考核方式'!$C$3:$G$3)</f>
        <v>0</v>
      </c>
      <c r="Z40">
        <f ca="1">('1、课程目标与考核方式'!$C$9*'4、平时成绩'!$C40*0.01+'1、课程目标与考核方式'!$D$9*'4、平时成绩'!$D40*0.01+'1、课程目标与考核方式'!$E$9*'4、平时成绩'!$E40*0.01+'1、课程目标与考核方式'!$F$9*'4、平时成绩'!$F40*0.01+'1、课程目标与考核方式'!$G$9*'4、平时成绩'!$G40*0.01)/SUM('1、课程目标与考核方式'!$C$3:$G$3)</f>
        <v>0</v>
      </c>
      <c r="AA40">
        <f ca="1">('1、课程目标与考核方式'!$C$10*'4、平时成绩'!$C40*0.01+'1、课程目标与考核方式'!$D$10*'4、平时成绩'!$D40*0.01+'1、课程目标与考核方式'!$E$10*'4、平时成绩'!$E40*0.01+'1、课程目标与考核方式'!$F$10*'4、平时成绩'!$F40*0.01+'1、课程目标与考核方式'!$G$10*'4、平时成绩'!$G40*0.01)/SUM('1、课程目标与考核方式'!$C$3:$G$3)</f>
        <v>0</v>
      </c>
      <c r="AB40">
        <f>'3、期末成绩'!C40/'2、试卷（期末题目-课程目标）'!$C$2</f>
        <v>0.95</v>
      </c>
      <c r="AC40">
        <f>'3、期末成绩'!D40/'2、试卷（期末题目-课程目标）'!$C$3</f>
        <v>0.95</v>
      </c>
    </row>
    <row r="41" spans="10:29">
      <c r="J41" s="243" t="str">
        <f>IF(ISBLANK('3、期末成绩'!A41)," ",'3、期末成绩'!A41)</f>
        <v>1653205</v>
      </c>
      <c r="K41" s="244" t="str">
        <f>IF(J41=" "," ",VLOOKUP(J41,'3、期末成绩'!$A$2:$B$201,2,FALSE))</f>
        <v>陈毓雯</v>
      </c>
      <c r="L41">
        <f ca="1">0.01*(T41*SUM('1、课程目标与考核方式'!$C$13:$G$13)+AB41*'1、课程目标与考核方式'!$H$13)</f>
        <v>0.7048</v>
      </c>
      <c r="M41">
        <f ca="1">0.01*(U41*SUM('1、课程目标与考核方式'!$C$13:$G$13)+AC41*'1、课程目标与考核方式'!$H$13)</f>
        <v>0.7048</v>
      </c>
      <c r="N41">
        <f ca="1">0.01*(V41*SUM('1、课程目标与考核方式'!$C$13:$G$13)+AD41*'1、课程目标与考核方式'!$H$13)</f>
        <v>0.2298</v>
      </c>
      <c r="O41">
        <f ca="1">0.01*(W41*SUM('1、课程目标与考核方式'!$C$13:$G$13)+AE41*'1、课程目标与考核方式'!$H$13)</f>
        <v>0</v>
      </c>
      <c r="P41">
        <f ca="1">0.01*(X41*SUM('1、课程目标与考核方式'!$C$13:$G$13)+AF41*'1、课程目标与考核方式'!$H$13)</f>
        <v>0</v>
      </c>
      <c r="Q41">
        <f ca="1">0.01*(Y41*SUM('1、课程目标与考核方式'!$C$13:$G$13)+AG41*'1、课程目标与考核方式'!$H$13)</f>
        <v>0</v>
      </c>
      <c r="R41">
        <f ca="1">0.01*(Z41*SUM('1、课程目标与考核方式'!$C$13:$G$13)+AH41*'1、课程目标与考核方式'!$H$13)</f>
        <v>0</v>
      </c>
      <c r="S41">
        <f ca="1">0.01*(AA41*SUM('1、课程目标与考核方式'!$C$13:$G$13)+AI41*'1、课程目标与考核方式'!$H$13)</f>
        <v>0</v>
      </c>
      <c r="T41">
        <f ca="1">('1、课程目标与考核方式'!$C$3*'4、平时成绩'!$C41*0.01+'1、课程目标与考核方式'!$D$3*'4、平时成绩'!$D41*0.01+'1、课程目标与考核方式'!$E$3*'4、平时成绩'!$E41*0.01+'1、课程目标与考核方式'!$F$3*'4、平时成绩'!$F41*0.01+'1、课程目标与考核方式'!$G$3*'4、平时成绩'!$G41*0.01)/SUM('1、课程目标与考核方式'!$C$3:$G$3)</f>
        <v>0.851111111111111</v>
      </c>
      <c r="U41">
        <f ca="1">('1、课程目标与考核方式'!$C$4*'4、平时成绩'!$C41*0.01+'1、课程目标与考核方式'!$D$4*'4、平时成绩'!$D41*0.01+'1、课程目标与考核方式'!$E$4*'4、平时成绩'!$E41*0.01+'1、课程目标与考核方式'!$F$4*'4、平时成绩'!$F41*0.01+'1、课程目标与考核方式'!$G$4*'4、平时成绩'!$G41*0.01)/SUM('1、课程目标与考核方式'!$C$3:$G$3)</f>
        <v>0.851111111111111</v>
      </c>
      <c r="V41">
        <f ca="1">('1、课程目标与考核方式'!$C$5*'4、平时成绩'!$C41*0.01+'1、课程目标与考核方式'!$D$5*'4、平时成绩'!$D41*0.01+'1、课程目标与考核方式'!$E$5*'4、平时成绩'!$E41*0.01+'1、课程目标与考核方式'!$F$5*'4、平时成绩'!$F41*0.01+'1、课程目标与考核方式'!$G$5*'4、平时成绩'!$G41*0.01)/SUM('1、课程目标与考核方式'!$C$3:$G$3)</f>
        <v>0.851111111111111</v>
      </c>
      <c r="W41">
        <f ca="1">('1、课程目标与考核方式'!$C$6*'4、平时成绩'!$C41*0.01+'1、课程目标与考核方式'!$D$6*'4、平时成绩'!$D41*0.01+'1、课程目标与考核方式'!$E$6*'4、平时成绩'!$E41*0.01+'1、课程目标与考核方式'!$F$6*'4、平时成绩'!$F41*0.01+'1、课程目标与考核方式'!$G$6*'4、平时成绩'!$G41*0.01)/SUM('1、课程目标与考核方式'!$C$3:$G$3)</f>
        <v>0</v>
      </c>
      <c r="X41">
        <f ca="1">('1、课程目标与考核方式'!$C$7*'4、平时成绩'!$C41*0.01+'1、课程目标与考核方式'!$D$7*'4、平时成绩'!$D41*0.01+'1、课程目标与考核方式'!$E$7*'4、平时成绩'!$E41*0.01+'1、课程目标与考核方式'!$F$7*'4、平时成绩'!$F41*0.01+'1、课程目标与考核方式'!$G$7*'4、平时成绩'!$G41*0.01)/SUM('1、课程目标与考核方式'!$C$3:$G$3)</f>
        <v>0</v>
      </c>
      <c r="Y41">
        <f ca="1">('1、课程目标与考核方式'!$C$8*'4、平时成绩'!$C41*0.01+'1、课程目标与考核方式'!$D$8*'4、平时成绩'!$D41*0.01+'1、课程目标与考核方式'!$E$8*'4、平时成绩'!$E41*0.01+'1、课程目标与考核方式'!$F$8*'4、平时成绩'!$F41*0.01+'1、课程目标与考核方式'!$G$8*'4、平时成绩'!$G41*0.01)/SUM('1、课程目标与考核方式'!$C$3:$G$3)</f>
        <v>0</v>
      </c>
      <c r="Z41">
        <f ca="1">('1、课程目标与考核方式'!$C$9*'4、平时成绩'!$C41*0.01+'1、课程目标与考核方式'!$D$9*'4、平时成绩'!$D41*0.01+'1、课程目标与考核方式'!$E$9*'4、平时成绩'!$E41*0.01+'1、课程目标与考核方式'!$F$9*'4、平时成绩'!$F41*0.01+'1、课程目标与考核方式'!$G$9*'4、平时成绩'!$G41*0.01)/SUM('1、课程目标与考核方式'!$C$3:$G$3)</f>
        <v>0</v>
      </c>
      <c r="AA41">
        <f ca="1">('1、课程目标与考核方式'!$C$10*'4、平时成绩'!$C41*0.01+'1、课程目标与考核方式'!$D$10*'4、平时成绩'!$D41*0.01+'1、课程目标与考核方式'!$E$10*'4、平时成绩'!$E41*0.01+'1、课程目标与考核方式'!$F$10*'4、平时成绩'!$F41*0.01+'1、课程目标与考核方式'!$G$10*'4、平时成绩'!$G41*0.01)/SUM('1、课程目标与考核方式'!$C$3:$G$3)</f>
        <v>0</v>
      </c>
      <c r="AB41">
        <f>'3、期末成绩'!C41/'2、试卷（期末题目-课程目标）'!$C$2</f>
        <v>0.95</v>
      </c>
      <c r="AC41">
        <f>'3、期末成绩'!D41/'2、试卷（期末题目-课程目标）'!$C$3</f>
        <v>0.95</v>
      </c>
    </row>
    <row r="42" spans="10:29">
      <c r="J42" s="243" t="str">
        <f>IF(ISBLANK('3、期末成绩'!A42)," ",'3、期末成绩'!A42)</f>
        <v>1653206</v>
      </c>
      <c r="K42" s="244" t="str">
        <f>IF(J42=" "," ",VLOOKUP(J42,'3、期末成绩'!$A$2:$B$201,2,FALSE))</f>
        <v>陈莹</v>
      </c>
      <c r="L42">
        <f ca="1">0.01*(T42*SUM('1、课程目标与考核方式'!$C$13:$G$13)+AB42*'1、课程目标与考核方式'!$H$13)</f>
        <v>0.7099</v>
      </c>
      <c r="M42">
        <f ca="1">0.01*(U42*SUM('1、课程目标与考核方式'!$C$13:$G$13)+AC42*'1、课程目标与考核方式'!$H$13)</f>
        <v>0.7099</v>
      </c>
      <c r="N42">
        <f ca="1">0.01*(V42*SUM('1、课程目标与考核方式'!$C$13:$G$13)+AD42*'1、课程目标与考核方式'!$H$13)</f>
        <v>0.2349</v>
      </c>
      <c r="O42">
        <f ca="1">0.01*(W42*SUM('1、课程目标与考核方式'!$C$13:$G$13)+AE42*'1、课程目标与考核方式'!$H$13)</f>
        <v>0</v>
      </c>
      <c r="P42">
        <f ca="1">0.01*(X42*SUM('1、课程目标与考核方式'!$C$13:$G$13)+AF42*'1、课程目标与考核方式'!$H$13)</f>
        <v>0</v>
      </c>
      <c r="Q42">
        <f ca="1">0.01*(Y42*SUM('1、课程目标与考核方式'!$C$13:$G$13)+AG42*'1、课程目标与考核方式'!$H$13)</f>
        <v>0</v>
      </c>
      <c r="R42">
        <f ca="1">0.01*(Z42*SUM('1、课程目标与考核方式'!$C$13:$G$13)+AH42*'1、课程目标与考核方式'!$H$13)</f>
        <v>0</v>
      </c>
      <c r="S42">
        <f ca="1">0.01*(AA42*SUM('1、课程目标与考核方式'!$C$13:$G$13)+AI42*'1、课程目标与考核方式'!$H$13)</f>
        <v>0</v>
      </c>
      <c r="T42">
        <f ca="1">('1、课程目标与考核方式'!$C$3*'4、平时成绩'!$C42*0.01+'1、课程目标与考核方式'!$D$3*'4、平时成绩'!$D42*0.01+'1、课程目标与考核方式'!$E$3*'4、平时成绩'!$E42*0.01+'1、课程目标与考核方式'!$F$3*'4、平时成绩'!$F42*0.01+'1、课程目标与考核方式'!$G$3*'4、平时成绩'!$G42*0.01)/SUM('1、课程目标与考核方式'!$C$3:$G$3)</f>
        <v>0.87</v>
      </c>
      <c r="U42">
        <f ca="1">('1、课程目标与考核方式'!$C$4*'4、平时成绩'!$C42*0.01+'1、课程目标与考核方式'!$D$4*'4、平时成绩'!$D42*0.01+'1、课程目标与考核方式'!$E$4*'4、平时成绩'!$E42*0.01+'1、课程目标与考核方式'!$F$4*'4、平时成绩'!$F42*0.01+'1、课程目标与考核方式'!$G$4*'4、平时成绩'!$G42*0.01)/SUM('1、课程目标与考核方式'!$C$3:$G$3)</f>
        <v>0.87</v>
      </c>
      <c r="V42">
        <f ca="1">('1、课程目标与考核方式'!$C$5*'4、平时成绩'!$C42*0.01+'1、课程目标与考核方式'!$D$5*'4、平时成绩'!$D42*0.01+'1、课程目标与考核方式'!$E$5*'4、平时成绩'!$E42*0.01+'1、课程目标与考核方式'!$F$5*'4、平时成绩'!$F42*0.01+'1、课程目标与考核方式'!$G$5*'4、平时成绩'!$G42*0.01)/SUM('1、课程目标与考核方式'!$C$3:$G$3)</f>
        <v>0.87</v>
      </c>
      <c r="W42">
        <f ca="1">('1、课程目标与考核方式'!$C$6*'4、平时成绩'!$C42*0.01+'1、课程目标与考核方式'!$D$6*'4、平时成绩'!$D42*0.01+'1、课程目标与考核方式'!$E$6*'4、平时成绩'!$E42*0.01+'1、课程目标与考核方式'!$F$6*'4、平时成绩'!$F42*0.01+'1、课程目标与考核方式'!$G$6*'4、平时成绩'!$G42*0.01)/SUM('1、课程目标与考核方式'!$C$3:$G$3)</f>
        <v>0</v>
      </c>
      <c r="X42">
        <f ca="1">('1、课程目标与考核方式'!$C$7*'4、平时成绩'!$C42*0.01+'1、课程目标与考核方式'!$D$7*'4、平时成绩'!$D42*0.01+'1、课程目标与考核方式'!$E$7*'4、平时成绩'!$E42*0.01+'1、课程目标与考核方式'!$F$7*'4、平时成绩'!$F42*0.01+'1、课程目标与考核方式'!$G$7*'4、平时成绩'!$G42*0.01)/SUM('1、课程目标与考核方式'!$C$3:$G$3)</f>
        <v>0</v>
      </c>
      <c r="Y42">
        <f ca="1">('1、课程目标与考核方式'!$C$8*'4、平时成绩'!$C42*0.01+'1、课程目标与考核方式'!$D$8*'4、平时成绩'!$D42*0.01+'1、课程目标与考核方式'!$E$8*'4、平时成绩'!$E42*0.01+'1、课程目标与考核方式'!$F$8*'4、平时成绩'!$F42*0.01+'1、课程目标与考核方式'!$G$8*'4、平时成绩'!$G42*0.01)/SUM('1、课程目标与考核方式'!$C$3:$G$3)</f>
        <v>0</v>
      </c>
      <c r="Z42">
        <f ca="1">('1、课程目标与考核方式'!$C$9*'4、平时成绩'!$C42*0.01+'1、课程目标与考核方式'!$D$9*'4、平时成绩'!$D42*0.01+'1、课程目标与考核方式'!$E$9*'4、平时成绩'!$E42*0.01+'1、课程目标与考核方式'!$F$9*'4、平时成绩'!$F42*0.01+'1、课程目标与考核方式'!$G$9*'4、平时成绩'!$G42*0.01)/SUM('1、课程目标与考核方式'!$C$3:$G$3)</f>
        <v>0</v>
      </c>
      <c r="AA42">
        <f ca="1">('1、课程目标与考核方式'!$C$10*'4、平时成绩'!$C42*0.01+'1、课程目标与考核方式'!$D$10*'4、平时成绩'!$D42*0.01+'1、课程目标与考核方式'!$E$10*'4、平时成绩'!$E42*0.01+'1、课程目标与考核方式'!$F$10*'4、平时成绩'!$F42*0.01+'1、课程目标与考核方式'!$G$10*'4、平时成绩'!$G42*0.01)/SUM('1、课程目标与考核方式'!$C$3:$G$3)</f>
        <v>0</v>
      </c>
      <c r="AB42">
        <f>'3、期末成绩'!C42/'2、试卷（期末题目-课程目标）'!$C$2</f>
        <v>0.95</v>
      </c>
      <c r="AC42">
        <f>'3、期末成绩'!D42/'2、试卷（期末题目-课程目标）'!$C$3</f>
        <v>0.95</v>
      </c>
    </row>
    <row r="43" spans="10:29">
      <c r="J43" s="243" t="str">
        <f>IF(ISBLANK('3、期末成绩'!A43)," ",'3、期末成绩'!A43)</f>
        <v>1653207</v>
      </c>
      <c r="K43" s="244" t="str">
        <f>IF(J43=" "," ",VLOOKUP(J43,'3、期末成绩'!$A$2:$B$201,2,FALSE))</f>
        <v>时峥</v>
      </c>
      <c r="L43">
        <f ca="1">0.01*(T43*SUM('1、课程目标与考核方式'!$C$13:$G$13)+AB43*'1、课程目标与考核方式'!$H$13)</f>
        <v>0.7135</v>
      </c>
      <c r="M43">
        <f ca="1">0.01*(U43*SUM('1、课程目标与考核方式'!$C$13:$G$13)+AC43*'1、课程目标与考核方式'!$H$13)</f>
        <v>0.7135</v>
      </c>
      <c r="N43">
        <f ca="1">0.01*(V43*SUM('1、课程目标与考核方式'!$C$13:$G$13)+AD43*'1、课程目标与考核方式'!$H$13)</f>
        <v>0.2385</v>
      </c>
      <c r="O43">
        <f ca="1">0.01*(W43*SUM('1、课程目标与考核方式'!$C$13:$G$13)+AE43*'1、课程目标与考核方式'!$H$13)</f>
        <v>0</v>
      </c>
      <c r="P43">
        <f ca="1">0.01*(X43*SUM('1、课程目标与考核方式'!$C$13:$G$13)+AF43*'1、课程目标与考核方式'!$H$13)</f>
        <v>0</v>
      </c>
      <c r="Q43">
        <f ca="1">0.01*(Y43*SUM('1、课程目标与考核方式'!$C$13:$G$13)+AG43*'1、课程目标与考核方式'!$H$13)</f>
        <v>0</v>
      </c>
      <c r="R43">
        <f ca="1">0.01*(Z43*SUM('1、课程目标与考核方式'!$C$13:$G$13)+AH43*'1、课程目标与考核方式'!$H$13)</f>
        <v>0</v>
      </c>
      <c r="S43">
        <f ca="1">0.01*(AA43*SUM('1、课程目标与考核方式'!$C$13:$G$13)+AI43*'1、课程目标与考核方式'!$H$13)</f>
        <v>0</v>
      </c>
      <c r="T43">
        <f ca="1">('1、课程目标与考核方式'!$C$3*'4、平时成绩'!$C43*0.01+'1、课程目标与考核方式'!$D$3*'4、平时成绩'!$D43*0.01+'1、课程目标与考核方式'!$E$3*'4、平时成绩'!$E43*0.01+'1、课程目标与考核方式'!$F$3*'4、平时成绩'!$F43*0.01+'1、课程目标与考核方式'!$G$3*'4、平时成绩'!$G43*0.01)/SUM('1、课程目标与考核方式'!$C$3:$G$3)</f>
        <v>0.883333333333333</v>
      </c>
      <c r="U43">
        <f ca="1">('1、课程目标与考核方式'!$C$4*'4、平时成绩'!$C43*0.01+'1、课程目标与考核方式'!$D$4*'4、平时成绩'!$D43*0.01+'1、课程目标与考核方式'!$E$4*'4、平时成绩'!$E43*0.01+'1、课程目标与考核方式'!$F$4*'4、平时成绩'!$F43*0.01+'1、课程目标与考核方式'!$G$4*'4、平时成绩'!$G43*0.01)/SUM('1、课程目标与考核方式'!$C$3:$G$3)</f>
        <v>0.883333333333333</v>
      </c>
      <c r="V43">
        <f ca="1">('1、课程目标与考核方式'!$C$5*'4、平时成绩'!$C43*0.01+'1、课程目标与考核方式'!$D$5*'4、平时成绩'!$D43*0.01+'1、课程目标与考核方式'!$E$5*'4、平时成绩'!$E43*0.01+'1、课程目标与考核方式'!$F$5*'4、平时成绩'!$F43*0.01+'1、课程目标与考核方式'!$G$5*'4、平时成绩'!$G43*0.01)/SUM('1、课程目标与考核方式'!$C$3:$G$3)</f>
        <v>0.883333333333333</v>
      </c>
      <c r="W43">
        <f ca="1">('1、课程目标与考核方式'!$C$6*'4、平时成绩'!$C43*0.01+'1、课程目标与考核方式'!$D$6*'4、平时成绩'!$D43*0.01+'1、课程目标与考核方式'!$E$6*'4、平时成绩'!$E43*0.01+'1、课程目标与考核方式'!$F$6*'4、平时成绩'!$F43*0.01+'1、课程目标与考核方式'!$G$6*'4、平时成绩'!$G43*0.01)/SUM('1、课程目标与考核方式'!$C$3:$G$3)</f>
        <v>0</v>
      </c>
      <c r="X43">
        <f ca="1">('1、课程目标与考核方式'!$C$7*'4、平时成绩'!$C43*0.01+'1、课程目标与考核方式'!$D$7*'4、平时成绩'!$D43*0.01+'1、课程目标与考核方式'!$E$7*'4、平时成绩'!$E43*0.01+'1、课程目标与考核方式'!$F$7*'4、平时成绩'!$F43*0.01+'1、课程目标与考核方式'!$G$7*'4、平时成绩'!$G43*0.01)/SUM('1、课程目标与考核方式'!$C$3:$G$3)</f>
        <v>0</v>
      </c>
      <c r="Y43">
        <f ca="1">('1、课程目标与考核方式'!$C$8*'4、平时成绩'!$C43*0.01+'1、课程目标与考核方式'!$D$8*'4、平时成绩'!$D43*0.01+'1、课程目标与考核方式'!$E$8*'4、平时成绩'!$E43*0.01+'1、课程目标与考核方式'!$F$8*'4、平时成绩'!$F43*0.01+'1、课程目标与考核方式'!$G$8*'4、平时成绩'!$G43*0.01)/SUM('1、课程目标与考核方式'!$C$3:$G$3)</f>
        <v>0</v>
      </c>
      <c r="Z43">
        <f ca="1">('1、课程目标与考核方式'!$C$9*'4、平时成绩'!$C43*0.01+'1、课程目标与考核方式'!$D$9*'4、平时成绩'!$D43*0.01+'1、课程目标与考核方式'!$E$9*'4、平时成绩'!$E43*0.01+'1、课程目标与考核方式'!$F$9*'4、平时成绩'!$F43*0.01+'1、课程目标与考核方式'!$G$9*'4、平时成绩'!$G43*0.01)/SUM('1、课程目标与考核方式'!$C$3:$G$3)</f>
        <v>0</v>
      </c>
      <c r="AA43">
        <f ca="1">('1、课程目标与考核方式'!$C$10*'4、平时成绩'!$C43*0.01+'1、课程目标与考核方式'!$D$10*'4、平时成绩'!$D43*0.01+'1、课程目标与考核方式'!$E$10*'4、平时成绩'!$E43*0.01+'1、课程目标与考核方式'!$F$10*'4、平时成绩'!$F43*0.01+'1、课程目标与考核方式'!$G$10*'4、平时成绩'!$G43*0.01)/SUM('1、课程目标与考核方式'!$C$3:$G$3)</f>
        <v>0</v>
      </c>
      <c r="AB43">
        <f>'3、期末成绩'!C43/'2、试卷（期末题目-课程目标）'!$C$2</f>
        <v>0.95</v>
      </c>
      <c r="AC43">
        <f>'3、期末成绩'!D43/'2、试卷（期末题目-课程目标）'!$C$3</f>
        <v>0.95</v>
      </c>
    </row>
    <row r="44" spans="10:29">
      <c r="J44" s="243" t="str">
        <f>IF(ISBLANK('3、期末成绩'!A44)," ",'3、期末成绩'!A44)</f>
        <v>1653208</v>
      </c>
      <c r="K44" s="244" t="str">
        <f>IF(J44=" "," ",VLOOKUP(J44,'3、期末成绩'!$A$2:$B$201,2,FALSE))</f>
        <v>谢沚娟</v>
      </c>
      <c r="L44">
        <f ca="1">0.01*(T44*SUM('1、课程目标与考核方式'!$C$13:$G$13)+AB44*'1、课程目标与考核方式'!$H$13)</f>
        <v>0.652</v>
      </c>
      <c r="M44">
        <f ca="1">0.01*(U44*SUM('1、课程目标与考核方式'!$C$13:$G$13)+AC44*'1、课程目标与考核方式'!$H$13)</f>
        <v>0.652</v>
      </c>
      <c r="N44">
        <f ca="1">0.01*(V44*SUM('1、课程目标与考核方式'!$C$13:$G$13)+AD44*'1、课程目标与考核方式'!$H$13)</f>
        <v>0.177</v>
      </c>
      <c r="O44">
        <f ca="1">0.01*(W44*SUM('1、课程目标与考核方式'!$C$13:$G$13)+AE44*'1、课程目标与考核方式'!$H$13)</f>
        <v>0</v>
      </c>
      <c r="P44">
        <f ca="1">0.01*(X44*SUM('1、课程目标与考核方式'!$C$13:$G$13)+AF44*'1、课程目标与考核方式'!$H$13)</f>
        <v>0</v>
      </c>
      <c r="Q44">
        <f ca="1">0.01*(Y44*SUM('1、课程目标与考核方式'!$C$13:$G$13)+AG44*'1、课程目标与考核方式'!$H$13)</f>
        <v>0</v>
      </c>
      <c r="R44">
        <f ca="1">0.01*(Z44*SUM('1、课程目标与考核方式'!$C$13:$G$13)+AH44*'1、课程目标与考核方式'!$H$13)</f>
        <v>0</v>
      </c>
      <c r="S44">
        <f ca="1">0.01*(AA44*SUM('1、课程目标与考核方式'!$C$13:$G$13)+AI44*'1、课程目标与考核方式'!$H$13)</f>
        <v>0</v>
      </c>
      <c r="T44">
        <f ca="1">('1、课程目标与考核方式'!$C$3*'4、平时成绩'!$C44*0.01+'1、课程目标与考核方式'!$D$3*'4、平时成绩'!$D44*0.01+'1、课程目标与考核方式'!$E$3*'4、平时成绩'!$E44*0.01+'1、课程目标与考核方式'!$F$3*'4、平时成绩'!$F44*0.01+'1、课程目标与考核方式'!$G$3*'4、平时成绩'!$G44*0.01)/SUM('1、课程目标与考核方式'!$C$3:$G$3)</f>
        <v>0.655555555555556</v>
      </c>
      <c r="U44">
        <f ca="1">('1、课程目标与考核方式'!$C$4*'4、平时成绩'!$C44*0.01+'1、课程目标与考核方式'!$D$4*'4、平时成绩'!$D44*0.01+'1、课程目标与考核方式'!$E$4*'4、平时成绩'!$E44*0.01+'1、课程目标与考核方式'!$F$4*'4、平时成绩'!$F44*0.01+'1、课程目标与考核方式'!$G$4*'4、平时成绩'!$G44*0.01)/SUM('1、课程目标与考核方式'!$C$3:$G$3)</f>
        <v>0.655555555555556</v>
      </c>
      <c r="V44">
        <f ca="1">('1、课程目标与考核方式'!$C$5*'4、平时成绩'!$C44*0.01+'1、课程目标与考核方式'!$D$5*'4、平时成绩'!$D44*0.01+'1、课程目标与考核方式'!$E$5*'4、平时成绩'!$E44*0.01+'1、课程目标与考核方式'!$F$5*'4、平时成绩'!$F44*0.01+'1、课程目标与考核方式'!$G$5*'4、平时成绩'!$G44*0.01)/SUM('1、课程目标与考核方式'!$C$3:$G$3)</f>
        <v>0.655555555555556</v>
      </c>
      <c r="W44">
        <f ca="1">('1、课程目标与考核方式'!$C$6*'4、平时成绩'!$C44*0.01+'1、课程目标与考核方式'!$D$6*'4、平时成绩'!$D44*0.01+'1、课程目标与考核方式'!$E$6*'4、平时成绩'!$E44*0.01+'1、课程目标与考核方式'!$F$6*'4、平时成绩'!$F44*0.01+'1、课程目标与考核方式'!$G$6*'4、平时成绩'!$G44*0.01)/SUM('1、课程目标与考核方式'!$C$3:$G$3)</f>
        <v>0</v>
      </c>
      <c r="X44">
        <f ca="1">('1、课程目标与考核方式'!$C$7*'4、平时成绩'!$C44*0.01+'1、课程目标与考核方式'!$D$7*'4、平时成绩'!$D44*0.01+'1、课程目标与考核方式'!$E$7*'4、平时成绩'!$E44*0.01+'1、课程目标与考核方式'!$F$7*'4、平时成绩'!$F44*0.01+'1、课程目标与考核方式'!$G$7*'4、平时成绩'!$G44*0.01)/SUM('1、课程目标与考核方式'!$C$3:$G$3)</f>
        <v>0</v>
      </c>
      <c r="Y44">
        <f ca="1">('1、课程目标与考核方式'!$C$8*'4、平时成绩'!$C44*0.01+'1、课程目标与考核方式'!$D$8*'4、平时成绩'!$D44*0.01+'1、课程目标与考核方式'!$E$8*'4、平时成绩'!$E44*0.01+'1、课程目标与考核方式'!$F$8*'4、平时成绩'!$F44*0.01+'1、课程目标与考核方式'!$G$8*'4、平时成绩'!$G44*0.01)/SUM('1、课程目标与考核方式'!$C$3:$G$3)</f>
        <v>0</v>
      </c>
      <c r="Z44">
        <f ca="1">('1、课程目标与考核方式'!$C$9*'4、平时成绩'!$C44*0.01+'1、课程目标与考核方式'!$D$9*'4、平时成绩'!$D44*0.01+'1、课程目标与考核方式'!$E$9*'4、平时成绩'!$E44*0.01+'1、课程目标与考核方式'!$F$9*'4、平时成绩'!$F44*0.01+'1、课程目标与考核方式'!$G$9*'4、平时成绩'!$G44*0.01)/SUM('1、课程目标与考核方式'!$C$3:$G$3)</f>
        <v>0</v>
      </c>
      <c r="AA44">
        <f ca="1">('1、课程目标与考核方式'!$C$10*'4、平时成绩'!$C44*0.01+'1、课程目标与考核方式'!$D$10*'4、平时成绩'!$D44*0.01+'1、课程目标与考核方式'!$E$10*'4、平时成绩'!$E44*0.01+'1、课程目标与考核方式'!$F$10*'4、平时成绩'!$F44*0.01+'1、课程目标与考核方式'!$G$10*'4、平时成绩'!$G44*0.01)/SUM('1、课程目标与考核方式'!$C$3:$G$3)</f>
        <v>0</v>
      </c>
      <c r="AB44">
        <f>'3、期末成绩'!C44/'2、试卷（期末题目-课程目标）'!$C$2</f>
        <v>0.95</v>
      </c>
      <c r="AC44">
        <f>'3、期末成绩'!D44/'2、试卷（期末题目-课程目标）'!$C$3</f>
        <v>0.95</v>
      </c>
    </row>
    <row r="45" spans="10:29">
      <c r="J45" s="243" t="str">
        <f>IF(ISBLANK('3、期末成绩'!A45)," ",'3、期末成绩'!A45)</f>
        <v>1653209</v>
      </c>
      <c r="K45" s="244" t="str">
        <f>IF(J45=" "," ",VLOOKUP(J45,'3、期末成绩'!$A$2:$B$201,2,FALSE))</f>
        <v>韦秋彤</v>
      </c>
      <c r="L45">
        <f ca="1">0.01*(T45*SUM('1、课程目标与考核方式'!$C$13:$G$13)+AB45*'1、课程目标与考核方式'!$H$13)</f>
        <v>0.6811</v>
      </c>
      <c r="M45">
        <f ca="1">0.01*(U45*SUM('1、课程目标与考核方式'!$C$13:$G$13)+AC45*'1、课程目标与考核方式'!$H$13)</f>
        <v>0.6811</v>
      </c>
      <c r="N45">
        <f ca="1">0.01*(V45*SUM('1、课程目标与考核方式'!$C$13:$G$13)+AD45*'1、课程目标与考核方式'!$H$13)</f>
        <v>0.2061</v>
      </c>
      <c r="O45">
        <f ca="1">0.01*(W45*SUM('1、课程目标与考核方式'!$C$13:$G$13)+AE45*'1、课程目标与考核方式'!$H$13)</f>
        <v>0</v>
      </c>
      <c r="P45">
        <f ca="1">0.01*(X45*SUM('1、课程目标与考核方式'!$C$13:$G$13)+AF45*'1、课程目标与考核方式'!$H$13)</f>
        <v>0</v>
      </c>
      <c r="Q45">
        <f ca="1">0.01*(Y45*SUM('1、课程目标与考核方式'!$C$13:$G$13)+AG45*'1、课程目标与考核方式'!$H$13)</f>
        <v>0</v>
      </c>
      <c r="R45">
        <f ca="1">0.01*(Z45*SUM('1、课程目标与考核方式'!$C$13:$G$13)+AH45*'1、课程目标与考核方式'!$H$13)</f>
        <v>0</v>
      </c>
      <c r="S45">
        <f ca="1">0.01*(AA45*SUM('1、课程目标与考核方式'!$C$13:$G$13)+AI45*'1、课程目标与考核方式'!$H$13)</f>
        <v>0</v>
      </c>
      <c r="T45">
        <f ca="1">('1、课程目标与考核方式'!$C$3*'4、平时成绩'!$C45*0.01+'1、课程目标与考核方式'!$D$3*'4、平时成绩'!$D45*0.01+'1、课程目标与考核方式'!$E$3*'4、平时成绩'!$E45*0.01+'1、课程目标与考核方式'!$F$3*'4、平时成绩'!$F45*0.01+'1、课程目标与考核方式'!$G$3*'4、平时成绩'!$G45*0.01)/SUM('1、课程目标与考核方式'!$C$3:$G$3)</f>
        <v>0.763333333333333</v>
      </c>
      <c r="U45">
        <f ca="1">('1、课程目标与考核方式'!$C$4*'4、平时成绩'!$C45*0.01+'1、课程目标与考核方式'!$D$4*'4、平时成绩'!$D45*0.01+'1、课程目标与考核方式'!$E$4*'4、平时成绩'!$E45*0.01+'1、课程目标与考核方式'!$F$4*'4、平时成绩'!$F45*0.01+'1、课程目标与考核方式'!$G$4*'4、平时成绩'!$G45*0.01)/SUM('1、课程目标与考核方式'!$C$3:$G$3)</f>
        <v>0.763333333333333</v>
      </c>
      <c r="V45">
        <f ca="1">('1、课程目标与考核方式'!$C$5*'4、平时成绩'!$C45*0.01+'1、课程目标与考核方式'!$D$5*'4、平时成绩'!$D45*0.01+'1、课程目标与考核方式'!$E$5*'4、平时成绩'!$E45*0.01+'1、课程目标与考核方式'!$F$5*'4、平时成绩'!$F45*0.01+'1、课程目标与考核方式'!$G$5*'4、平时成绩'!$G45*0.01)/SUM('1、课程目标与考核方式'!$C$3:$G$3)</f>
        <v>0.763333333333333</v>
      </c>
      <c r="W45">
        <f ca="1">('1、课程目标与考核方式'!$C$6*'4、平时成绩'!$C45*0.01+'1、课程目标与考核方式'!$D$6*'4、平时成绩'!$D45*0.01+'1、课程目标与考核方式'!$E$6*'4、平时成绩'!$E45*0.01+'1、课程目标与考核方式'!$F$6*'4、平时成绩'!$F45*0.01+'1、课程目标与考核方式'!$G$6*'4、平时成绩'!$G45*0.01)/SUM('1、课程目标与考核方式'!$C$3:$G$3)</f>
        <v>0</v>
      </c>
      <c r="X45">
        <f ca="1">('1、课程目标与考核方式'!$C$7*'4、平时成绩'!$C45*0.01+'1、课程目标与考核方式'!$D$7*'4、平时成绩'!$D45*0.01+'1、课程目标与考核方式'!$E$7*'4、平时成绩'!$E45*0.01+'1、课程目标与考核方式'!$F$7*'4、平时成绩'!$F45*0.01+'1、课程目标与考核方式'!$G$7*'4、平时成绩'!$G45*0.01)/SUM('1、课程目标与考核方式'!$C$3:$G$3)</f>
        <v>0</v>
      </c>
      <c r="Y45">
        <f ca="1">('1、课程目标与考核方式'!$C$8*'4、平时成绩'!$C45*0.01+'1、课程目标与考核方式'!$D$8*'4、平时成绩'!$D45*0.01+'1、课程目标与考核方式'!$E$8*'4、平时成绩'!$E45*0.01+'1、课程目标与考核方式'!$F$8*'4、平时成绩'!$F45*0.01+'1、课程目标与考核方式'!$G$8*'4、平时成绩'!$G45*0.01)/SUM('1、课程目标与考核方式'!$C$3:$G$3)</f>
        <v>0</v>
      </c>
      <c r="Z45">
        <f ca="1">('1、课程目标与考核方式'!$C$9*'4、平时成绩'!$C45*0.01+'1、课程目标与考核方式'!$D$9*'4、平时成绩'!$D45*0.01+'1、课程目标与考核方式'!$E$9*'4、平时成绩'!$E45*0.01+'1、课程目标与考核方式'!$F$9*'4、平时成绩'!$F45*0.01+'1、课程目标与考核方式'!$G$9*'4、平时成绩'!$G45*0.01)/SUM('1、课程目标与考核方式'!$C$3:$G$3)</f>
        <v>0</v>
      </c>
      <c r="AA45">
        <f ca="1">('1、课程目标与考核方式'!$C$10*'4、平时成绩'!$C45*0.01+'1、课程目标与考核方式'!$D$10*'4、平时成绩'!$D45*0.01+'1、课程目标与考核方式'!$E$10*'4、平时成绩'!$E45*0.01+'1、课程目标与考核方式'!$F$10*'4、平时成绩'!$F45*0.01+'1、课程目标与考核方式'!$G$10*'4、平时成绩'!$G45*0.01)/SUM('1、课程目标与考核方式'!$C$3:$G$3)</f>
        <v>0</v>
      </c>
      <c r="AB45">
        <f>'3、期末成绩'!C45/'2、试卷（期末题目-课程目标）'!$C$2</f>
        <v>0.95</v>
      </c>
      <c r="AC45">
        <f>'3、期末成绩'!D45/'2、试卷（期末题目-课程目标）'!$C$3</f>
        <v>0.95</v>
      </c>
    </row>
    <row r="46" spans="10:29">
      <c r="J46" s="243" t="str">
        <f>IF(ISBLANK('3、期末成绩'!A46)," ",'3、期末成绩'!A46)</f>
        <v>1653210</v>
      </c>
      <c r="K46" s="244" t="str">
        <f>IF(J46=" "," ",VLOOKUP(J46,'3、期末成绩'!$A$2:$B$201,2,FALSE))</f>
        <v>童竹雯</v>
      </c>
      <c r="L46">
        <f ca="1">0.01*(T46*SUM('1、课程目标与考核方式'!$C$13:$G$13)+AB46*'1、课程目标与考核方式'!$H$13)</f>
        <v>0.6778</v>
      </c>
      <c r="M46">
        <f ca="1">0.01*(U46*SUM('1、课程目标与考核方式'!$C$13:$G$13)+AC46*'1、课程目标与考核方式'!$H$13)</f>
        <v>0.6778</v>
      </c>
      <c r="N46">
        <f ca="1">0.01*(V46*SUM('1、课程目标与考核方式'!$C$13:$G$13)+AD46*'1、课程目标与考核方式'!$H$13)</f>
        <v>0.2028</v>
      </c>
      <c r="O46">
        <f ca="1">0.01*(W46*SUM('1、课程目标与考核方式'!$C$13:$G$13)+AE46*'1、课程目标与考核方式'!$H$13)</f>
        <v>0</v>
      </c>
      <c r="P46">
        <f ca="1">0.01*(X46*SUM('1、课程目标与考核方式'!$C$13:$G$13)+AF46*'1、课程目标与考核方式'!$H$13)</f>
        <v>0</v>
      </c>
      <c r="Q46">
        <f ca="1">0.01*(Y46*SUM('1、课程目标与考核方式'!$C$13:$G$13)+AG46*'1、课程目标与考核方式'!$H$13)</f>
        <v>0</v>
      </c>
      <c r="R46">
        <f ca="1">0.01*(Z46*SUM('1、课程目标与考核方式'!$C$13:$G$13)+AH46*'1、课程目标与考核方式'!$H$13)</f>
        <v>0</v>
      </c>
      <c r="S46">
        <f ca="1">0.01*(AA46*SUM('1、课程目标与考核方式'!$C$13:$G$13)+AI46*'1、课程目标与考核方式'!$H$13)</f>
        <v>0</v>
      </c>
      <c r="T46">
        <f ca="1">('1、课程目标与考核方式'!$C$3*'4、平时成绩'!$C46*0.01+'1、课程目标与考核方式'!$D$3*'4、平时成绩'!$D46*0.01+'1、课程目标与考核方式'!$E$3*'4、平时成绩'!$E46*0.01+'1、课程目标与考核方式'!$F$3*'4、平时成绩'!$F46*0.01+'1、课程目标与考核方式'!$G$3*'4、平时成绩'!$G46*0.01)/SUM('1、课程目标与考核方式'!$C$3:$G$3)</f>
        <v>0.751111111111111</v>
      </c>
      <c r="U46">
        <f ca="1">('1、课程目标与考核方式'!$C$4*'4、平时成绩'!$C46*0.01+'1、课程目标与考核方式'!$D$4*'4、平时成绩'!$D46*0.01+'1、课程目标与考核方式'!$E$4*'4、平时成绩'!$E46*0.01+'1、课程目标与考核方式'!$F$4*'4、平时成绩'!$F46*0.01+'1、课程目标与考核方式'!$G$4*'4、平时成绩'!$G46*0.01)/SUM('1、课程目标与考核方式'!$C$3:$G$3)</f>
        <v>0.751111111111111</v>
      </c>
      <c r="V46">
        <f ca="1">('1、课程目标与考核方式'!$C$5*'4、平时成绩'!$C46*0.01+'1、课程目标与考核方式'!$D$5*'4、平时成绩'!$D46*0.01+'1、课程目标与考核方式'!$E$5*'4、平时成绩'!$E46*0.01+'1、课程目标与考核方式'!$F$5*'4、平时成绩'!$F46*0.01+'1、课程目标与考核方式'!$G$5*'4、平时成绩'!$G46*0.01)/SUM('1、课程目标与考核方式'!$C$3:$G$3)</f>
        <v>0.751111111111111</v>
      </c>
      <c r="W46">
        <f ca="1">('1、课程目标与考核方式'!$C$6*'4、平时成绩'!$C46*0.01+'1、课程目标与考核方式'!$D$6*'4、平时成绩'!$D46*0.01+'1、课程目标与考核方式'!$E$6*'4、平时成绩'!$E46*0.01+'1、课程目标与考核方式'!$F$6*'4、平时成绩'!$F46*0.01+'1、课程目标与考核方式'!$G$6*'4、平时成绩'!$G46*0.01)/SUM('1、课程目标与考核方式'!$C$3:$G$3)</f>
        <v>0</v>
      </c>
      <c r="X46">
        <f ca="1">('1、课程目标与考核方式'!$C$7*'4、平时成绩'!$C46*0.01+'1、课程目标与考核方式'!$D$7*'4、平时成绩'!$D46*0.01+'1、课程目标与考核方式'!$E$7*'4、平时成绩'!$E46*0.01+'1、课程目标与考核方式'!$F$7*'4、平时成绩'!$F46*0.01+'1、课程目标与考核方式'!$G$7*'4、平时成绩'!$G46*0.01)/SUM('1、课程目标与考核方式'!$C$3:$G$3)</f>
        <v>0</v>
      </c>
      <c r="Y46">
        <f ca="1">('1、课程目标与考核方式'!$C$8*'4、平时成绩'!$C46*0.01+'1、课程目标与考核方式'!$D$8*'4、平时成绩'!$D46*0.01+'1、课程目标与考核方式'!$E$8*'4、平时成绩'!$E46*0.01+'1、课程目标与考核方式'!$F$8*'4、平时成绩'!$F46*0.01+'1、课程目标与考核方式'!$G$8*'4、平时成绩'!$G46*0.01)/SUM('1、课程目标与考核方式'!$C$3:$G$3)</f>
        <v>0</v>
      </c>
      <c r="Z46">
        <f ca="1">('1、课程目标与考核方式'!$C$9*'4、平时成绩'!$C46*0.01+'1、课程目标与考核方式'!$D$9*'4、平时成绩'!$D46*0.01+'1、课程目标与考核方式'!$E$9*'4、平时成绩'!$E46*0.01+'1、课程目标与考核方式'!$F$9*'4、平时成绩'!$F46*0.01+'1、课程目标与考核方式'!$G$9*'4、平时成绩'!$G46*0.01)/SUM('1、课程目标与考核方式'!$C$3:$G$3)</f>
        <v>0</v>
      </c>
      <c r="AA46">
        <f ca="1">('1、课程目标与考核方式'!$C$10*'4、平时成绩'!$C46*0.01+'1、课程目标与考核方式'!$D$10*'4、平时成绩'!$D46*0.01+'1、课程目标与考核方式'!$E$10*'4、平时成绩'!$E46*0.01+'1、课程目标与考核方式'!$F$10*'4、平时成绩'!$F46*0.01+'1、课程目标与考核方式'!$G$10*'4、平时成绩'!$G46*0.01)/SUM('1、课程目标与考核方式'!$C$3:$G$3)</f>
        <v>0</v>
      </c>
      <c r="AB46">
        <f>'3、期末成绩'!C46/'2、试卷（期末题目-课程目标）'!$C$2</f>
        <v>0.95</v>
      </c>
      <c r="AC46">
        <f>'3、期末成绩'!D46/'2、试卷（期末题目-课程目标）'!$C$3</f>
        <v>0.95</v>
      </c>
    </row>
    <row r="47" spans="10:29">
      <c r="J47" s="243" t="str">
        <f>IF(ISBLANK('3、期末成绩'!A47)," ",'3、期末成绩'!A47)</f>
        <v>1653211</v>
      </c>
      <c r="K47" s="244" t="str">
        <f>IF(J47=" "," ",VLOOKUP(J47,'3、期末成绩'!$A$2:$B$201,2,FALSE))</f>
        <v>吴本维</v>
      </c>
      <c r="L47">
        <f ca="1">0.01*(T47*SUM('1、课程目标与考核方式'!$C$13:$G$13)+AB47*'1、课程目标与考核方式'!$H$13)</f>
        <v>0.658</v>
      </c>
      <c r="M47">
        <f ca="1">0.01*(U47*SUM('1、课程目标与考核方式'!$C$13:$G$13)+AC47*'1、课程目标与考核方式'!$H$13)</f>
        <v>0.658</v>
      </c>
      <c r="N47">
        <f ca="1">0.01*(V47*SUM('1、课程目标与考核方式'!$C$13:$G$13)+AD47*'1、课程目标与考核方式'!$H$13)</f>
        <v>0.183</v>
      </c>
      <c r="O47">
        <f ca="1">0.01*(W47*SUM('1、课程目标与考核方式'!$C$13:$G$13)+AE47*'1、课程目标与考核方式'!$H$13)</f>
        <v>0</v>
      </c>
      <c r="P47">
        <f ca="1">0.01*(X47*SUM('1、课程目标与考核方式'!$C$13:$G$13)+AF47*'1、课程目标与考核方式'!$H$13)</f>
        <v>0</v>
      </c>
      <c r="Q47">
        <f ca="1">0.01*(Y47*SUM('1、课程目标与考核方式'!$C$13:$G$13)+AG47*'1、课程目标与考核方式'!$H$13)</f>
        <v>0</v>
      </c>
      <c r="R47">
        <f ca="1">0.01*(Z47*SUM('1、课程目标与考核方式'!$C$13:$G$13)+AH47*'1、课程目标与考核方式'!$H$13)</f>
        <v>0</v>
      </c>
      <c r="S47">
        <f ca="1">0.01*(AA47*SUM('1、课程目标与考核方式'!$C$13:$G$13)+AI47*'1、课程目标与考核方式'!$H$13)</f>
        <v>0</v>
      </c>
      <c r="T47">
        <f ca="1">('1、课程目标与考核方式'!$C$3*'4、平时成绩'!$C47*0.01+'1、课程目标与考核方式'!$D$3*'4、平时成绩'!$D47*0.01+'1、课程目标与考核方式'!$E$3*'4、平时成绩'!$E47*0.01+'1、课程目标与考核方式'!$F$3*'4、平时成绩'!$F47*0.01+'1、课程目标与考核方式'!$G$3*'4、平时成绩'!$G47*0.01)/SUM('1、课程目标与考核方式'!$C$3:$G$3)</f>
        <v>0.677777777777778</v>
      </c>
      <c r="U47">
        <f ca="1">('1、课程目标与考核方式'!$C$4*'4、平时成绩'!$C47*0.01+'1、课程目标与考核方式'!$D$4*'4、平时成绩'!$D47*0.01+'1、课程目标与考核方式'!$E$4*'4、平时成绩'!$E47*0.01+'1、课程目标与考核方式'!$F$4*'4、平时成绩'!$F47*0.01+'1、课程目标与考核方式'!$G$4*'4、平时成绩'!$G47*0.01)/SUM('1、课程目标与考核方式'!$C$3:$G$3)</f>
        <v>0.677777777777778</v>
      </c>
      <c r="V47">
        <f ca="1">('1、课程目标与考核方式'!$C$5*'4、平时成绩'!$C47*0.01+'1、课程目标与考核方式'!$D$5*'4、平时成绩'!$D47*0.01+'1、课程目标与考核方式'!$E$5*'4、平时成绩'!$E47*0.01+'1、课程目标与考核方式'!$F$5*'4、平时成绩'!$F47*0.01+'1、课程目标与考核方式'!$G$5*'4、平时成绩'!$G47*0.01)/SUM('1、课程目标与考核方式'!$C$3:$G$3)</f>
        <v>0.677777777777778</v>
      </c>
      <c r="W47">
        <f ca="1">('1、课程目标与考核方式'!$C$6*'4、平时成绩'!$C47*0.01+'1、课程目标与考核方式'!$D$6*'4、平时成绩'!$D47*0.01+'1、课程目标与考核方式'!$E$6*'4、平时成绩'!$E47*0.01+'1、课程目标与考核方式'!$F$6*'4、平时成绩'!$F47*0.01+'1、课程目标与考核方式'!$G$6*'4、平时成绩'!$G47*0.01)/SUM('1、课程目标与考核方式'!$C$3:$G$3)</f>
        <v>0</v>
      </c>
      <c r="X47">
        <f ca="1">('1、课程目标与考核方式'!$C$7*'4、平时成绩'!$C47*0.01+'1、课程目标与考核方式'!$D$7*'4、平时成绩'!$D47*0.01+'1、课程目标与考核方式'!$E$7*'4、平时成绩'!$E47*0.01+'1、课程目标与考核方式'!$F$7*'4、平时成绩'!$F47*0.01+'1、课程目标与考核方式'!$G$7*'4、平时成绩'!$G47*0.01)/SUM('1、课程目标与考核方式'!$C$3:$G$3)</f>
        <v>0</v>
      </c>
      <c r="Y47">
        <f ca="1">('1、课程目标与考核方式'!$C$8*'4、平时成绩'!$C47*0.01+'1、课程目标与考核方式'!$D$8*'4、平时成绩'!$D47*0.01+'1、课程目标与考核方式'!$E$8*'4、平时成绩'!$E47*0.01+'1、课程目标与考核方式'!$F$8*'4、平时成绩'!$F47*0.01+'1、课程目标与考核方式'!$G$8*'4、平时成绩'!$G47*0.01)/SUM('1、课程目标与考核方式'!$C$3:$G$3)</f>
        <v>0</v>
      </c>
      <c r="Z47">
        <f ca="1">('1、课程目标与考核方式'!$C$9*'4、平时成绩'!$C47*0.01+'1、课程目标与考核方式'!$D$9*'4、平时成绩'!$D47*0.01+'1、课程目标与考核方式'!$E$9*'4、平时成绩'!$E47*0.01+'1、课程目标与考核方式'!$F$9*'4、平时成绩'!$F47*0.01+'1、课程目标与考核方式'!$G$9*'4、平时成绩'!$G47*0.01)/SUM('1、课程目标与考核方式'!$C$3:$G$3)</f>
        <v>0</v>
      </c>
      <c r="AA47">
        <f ca="1">('1、课程目标与考核方式'!$C$10*'4、平时成绩'!$C47*0.01+'1、课程目标与考核方式'!$D$10*'4、平时成绩'!$D47*0.01+'1、课程目标与考核方式'!$E$10*'4、平时成绩'!$E47*0.01+'1、课程目标与考核方式'!$F$10*'4、平时成绩'!$F47*0.01+'1、课程目标与考核方式'!$G$10*'4、平时成绩'!$G47*0.01)/SUM('1、课程目标与考核方式'!$C$3:$G$3)</f>
        <v>0</v>
      </c>
      <c r="AB47">
        <f>'3、期末成绩'!C47/'2、试卷（期末题目-课程目标）'!$C$2</f>
        <v>0.95</v>
      </c>
      <c r="AC47">
        <f>'3、期末成绩'!D47/'2、试卷（期末题目-课程目标）'!$C$3</f>
        <v>0.95</v>
      </c>
    </row>
    <row r="48" spans="10:29">
      <c r="J48" s="243" t="str">
        <f>IF(ISBLANK('3、期末成绩'!A48)," ",'3、期末成绩'!A48)</f>
        <v>1653212</v>
      </c>
      <c r="K48" s="244" t="str">
        <f>IF(J48=" "," ",VLOOKUP(J48,'3、期末成绩'!$A$2:$B$201,2,FALSE))</f>
        <v>郭薇煊</v>
      </c>
      <c r="L48">
        <f ca="1">0.01*(T48*SUM('1、课程目标与考核方式'!$C$13:$G$13)+AB48*'1、课程目标与考核方式'!$H$13)</f>
        <v>0.6916</v>
      </c>
      <c r="M48">
        <f ca="1">0.01*(U48*SUM('1、课程目标与考核方式'!$C$13:$G$13)+AC48*'1、课程目标与考核方式'!$H$13)</f>
        <v>0.6916</v>
      </c>
      <c r="N48">
        <f ca="1">0.01*(V48*SUM('1、课程目标与考核方式'!$C$13:$G$13)+AD48*'1、课程目标与考核方式'!$H$13)</f>
        <v>0.2166</v>
      </c>
      <c r="O48">
        <f ca="1">0.01*(W48*SUM('1、课程目标与考核方式'!$C$13:$G$13)+AE48*'1、课程目标与考核方式'!$H$13)</f>
        <v>0</v>
      </c>
      <c r="P48">
        <f ca="1">0.01*(X48*SUM('1、课程目标与考核方式'!$C$13:$G$13)+AF48*'1、课程目标与考核方式'!$H$13)</f>
        <v>0</v>
      </c>
      <c r="Q48">
        <f ca="1">0.01*(Y48*SUM('1、课程目标与考核方式'!$C$13:$G$13)+AG48*'1、课程目标与考核方式'!$H$13)</f>
        <v>0</v>
      </c>
      <c r="R48">
        <f ca="1">0.01*(Z48*SUM('1、课程目标与考核方式'!$C$13:$G$13)+AH48*'1、课程目标与考核方式'!$H$13)</f>
        <v>0</v>
      </c>
      <c r="S48">
        <f ca="1">0.01*(AA48*SUM('1、课程目标与考核方式'!$C$13:$G$13)+AI48*'1、课程目标与考核方式'!$H$13)</f>
        <v>0</v>
      </c>
      <c r="T48">
        <f ca="1">('1、课程目标与考核方式'!$C$3*'4、平时成绩'!$C48*0.01+'1、课程目标与考核方式'!$D$3*'4、平时成绩'!$D48*0.01+'1、课程目标与考核方式'!$E$3*'4、平时成绩'!$E48*0.01+'1、课程目标与考核方式'!$F$3*'4、平时成绩'!$F48*0.01+'1、课程目标与考核方式'!$G$3*'4、平时成绩'!$G48*0.01)/SUM('1、课程目标与考核方式'!$C$3:$G$3)</f>
        <v>0.802222222222222</v>
      </c>
      <c r="U48">
        <f ca="1">('1、课程目标与考核方式'!$C$4*'4、平时成绩'!$C48*0.01+'1、课程目标与考核方式'!$D$4*'4、平时成绩'!$D48*0.01+'1、课程目标与考核方式'!$E$4*'4、平时成绩'!$E48*0.01+'1、课程目标与考核方式'!$F$4*'4、平时成绩'!$F48*0.01+'1、课程目标与考核方式'!$G$4*'4、平时成绩'!$G48*0.01)/SUM('1、课程目标与考核方式'!$C$3:$G$3)</f>
        <v>0.802222222222222</v>
      </c>
      <c r="V48">
        <f ca="1">('1、课程目标与考核方式'!$C$5*'4、平时成绩'!$C48*0.01+'1、课程目标与考核方式'!$D$5*'4、平时成绩'!$D48*0.01+'1、课程目标与考核方式'!$E$5*'4、平时成绩'!$E48*0.01+'1、课程目标与考核方式'!$F$5*'4、平时成绩'!$F48*0.01+'1、课程目标与考核方式'!$G$5*'4、平时成绩'!$G48*0.01)/SUM('1、课程目标与考核方式'!$C$3:$G$3)</f>
        <v>0.802222222222222</v>
      </c>
      <c r="W48">
        <f ca="1">('1、课程目标与考核方式'!$C$6*'4、平时成绩'!$C48*0.01+'1、课程目标与考核方式'!$D$6*'4、平时成绩'!$D48*0.01+'1、课程目标与考核方式'!$E$6*'4、平时成绩'!$E48*0.01+'1、课程目标与考核方式'!$F$6*'4、平时成绩'!$F48*0.01+'1、课程目标与考核方式'!$G$6*'4、平时成绩'!$G48*0.01)/SUM('1、课程目标与考核方式'!$C$3:$G$3)</f>
        <v>0</v>
      </c>
      <c r="X48">
        <f ca="1">('1、课程目标与考核方式'!$C$7*'4、平时成绩'!$C48*0.01+'1、课程目标与考核方式'!$D$7*'4、平时成绩'!$D48*0.01+'1、课程目标与考核方式'!$E$7*'4、平时成绩'!$E48*0.01+'1、课程目标与考核方式'!$F$7*'4、平时成绩'!$F48*0.01+'1、课程目标与考核方式'!$G$7*'4、平时成绩'!$G48*0.01)/SUM('1、课程目标与考核方式'!$C$3:$G$3)</f>
        <v>0</v>
      </c>
      <c r="Y48">
        <f ca="1">('1、课程目标与考核方式'!$C$8*'4、平时成绩'!$C48*0.01+'1、课程目标与考核方式'!$D$8*'4、平时成绩'!$D48*0.01+'1、课程目标与考核方式'!$E$8*'4、平时成绩'!$E48*0.01+'1、课程目标与考核方式'!$F$8*'4、平时成绩'!$F48*0.01+'1、课程目标与考核方式'!$G$8*'4、平时成绩'!$G48*0.01)/SUM('1、课程目标与考核方式'!$C$3:$G$3)</f>
        <v>0</v>
      </c>
      <c r="Z48">
        <f ca="1">('1、课程目标与考核方式'!$C$9*'4、平时成绩'!$C48*0.01+'1、课程目标与考核方式'!$D$9*'4、平时成绩'!$D48*0.01+'1、课程目标与考核方式'!$E$9*'4、平时成绩'!$E48*0.01+'1、课程目标与考核方式'!$F$9*'4、平时成绩'!$F48*0.01+'1、课程目标与考核方式'!$G$9*'4、平时成绩'!$G48*0.01)/SUM('1、课程目标与考核方式'!$C$3:$G$3)</f>
        <v>0</v>
      </c>
      <c r="AA48">
        <f ca="1">('1、课程目标与考核方式'!$C$10*'4、平时成绩'!$C48*0.01+'1、课程目标与考核方式'!$D$10*'4、平时成绩'!$D48*0.01+'1、课程目标与考核方式'!$E$10*'4、平时成绩'!$E48*0.01+'1、课程目标与考核方式'!$F$10*'4、平时成绩'!$F48*0.01+'1、课程目标与考核方式'!$G$10*'4、平时成绩'!$G48*0.01)/SUM('1、课程目标与考核方式'!$C$3:$G$3)</f>
        <v>0</v>
      </c>
      <c r="AB48">
        <f>'3、期末成绩'!C48/'2、试卷（期末题目-课程目标）'!$C$2</f>
        <v>0.95</v>
      </c>
      <c r="AC48">
        <f>'3、期末成绩'!D48/'2、试卷（期末题目-课程目标）'!$C$3</f>
        <v>0.95</v>
      </c>
    </row>
    <row r="49" spans="10:29">
      <c r="J49" s="243" t="str">
        <f>IF(ISBLANK('3、期末成绩'!A49)," ",'3、期末成绩'!A49)</f>
        <v>1653213</v>
      </c>
      <c r="K49" s="244" t="str">
        <f>IF(J49=" "," ",VLOOKUP(J49,'3、期末成绩'!$A$2:$B$201,2,FALSE))</f>
        <v>祝瑞昊</v>
      </c>
      <c r="L49">
        <f ca="1">0.01*(T49*SUM('1、课程目标与考核方式'!$C$13:$G$13)+AB49*'1、课程目标与考核方式'!$H$13)</f>
        <v>0.6763</v>
      </c>
      <c r="M49">
        <f ca="1">0.01*(U49*SUM('1、课程目标与考核方式'!$C$13:$G$13)+AC49*'1、课程目标与考核方式'!$H$13)</f>
        <v>0.6763</v>
      </c>
      <c r="N49">
        <f ca="1">0.01*(V49*SUM('1、课程目标与考核方式'!$C$13:$G$13)+AD49*'1、课程目标与考核方式'!$H$13)</f>
        <v>0.2013</v>
      </c>
      <c r="O49">
        <f ca="1">0.01*(W49*SUM('1、课程目标与考核方式'!$C$13:$G$13)+AE49*'1、课程目标与考核方式'!$H$13)</f>
        <v>0</v>
      </c>
      <c r="P49">
        <f ca="1">0.01*(X49*SUM('1、课程目标与考核方式'!$C$13:$G$13)+AF49*'1、课程目标与考核方式'!$H$13)</f>
        <v>0</v>
      </c>
      <c r="Q49">
        <f ca="1">0.01*(Y49*SUM('1、课程目标与考核方式'!$C$13:$G$13)+AG49*'1、课程目标与考核方式'!$H$13)</f>
        <v>0</v>
      </c>
      <c r="R49">
        <f ca="1">0.01*(Z49*SUM('1、课程目标与考核方式'!$C$13:$G$13)+AH49*'1、课程目标与考核方式'!$H$13)</f>
        <v>0</v>
      </c>
      <c r="S49">
        <f ca="1">0.01*(AA49*SUM('1、课程目标与考核方式'!$C$13:$G$13)+AI49*'1、课程目标与考核方式'!$H$13)</f>
        <v>0</v>
      </c>
      <c r="T49">
        <f ca="1">('1、课程目标与考核方式'!$C$3*'4、平时成绩'!$C49*0.01+'1、课程目标与考核方式'!$D$3*'4、平时成绩'!$D49*0.01+'1、课程目标与考核方式'!$E$3*'4、平时成绩'!$E49*0.01+'1、课程目标与考核方式'!$F$3*'4、平时成绩'!$F49*0.01+'1、课程目标与考核方式'!$G$3*'4、平时成绩'!$G49*0.01)/SUM('1、课程目标与考核方式'!$C$3:$G$3)</f>
        <v>0.745555555555556</v>
      </c>
      <c r="U49">
        <f ca="1">('1、课程目标与考核方式'!$C$4*'4、平时成绩'!$C49*0.01+'1、课程目标与考核方式'!$D$4*'4、平时成绩'!$D49*0.01+'1、课程目标与考核方式'!$E$4*'4、平时成绩'!$E49*0.01+'1、课程目标与考核方式'!$F$4*'4、平时成绩'!$F49*0.01+'1、课程目标与考核方式'!$G$4*'4、平时成绩'!$G49*0.01)/SUM('1、课程目标与考核方式'!$C$3:$G$3)</f>
        <v>0.745555555555556</v>
      </c>
      <c r="V49">
        <f ca="1">('1、课程目标与考核方式'!$C$5*'4、平时成绩'!$C49*0.01+'1、课程目标与考核方式'!$D$5*'4、平时成绩'!$D49*0.01+'1、课程目标与考核方式'!$E$5*'4、平时成绩'!$E49*0.01+'1、课程目标与考核方式'!$F$5*'4、平时成绩'!$F49*0.01+'1、课程目标与考核方式'!$G$5*'4、平时成绩'!$G49*0.01)/SUM('1、课程目标与考核方式'!$C$3:$G$3)</f>
        <v>0.745555555555556</v>
      </c>
      <c r="W49">
        <f ca="1">('1、课程目标与考核方式'!$C$6*'4、平时成绩'!$C49*0.01+'1、课程目标与考核方式'!$D$6*'4、平时成绩'!$D49*0.01+'1、课程目标与考核方式'!$E$6*'4、平时成绩'!$E49*0.01+'1、课程目标与考核方式'!$F$6*'4、平时成绩'!$F49*0.01+'1、课程目标与考核方式'!$G$6*'4、平时成绩'!$G49*0.01)/SUM('1、课程目标与考核方式'!$C$3:$G$3)</f>
        <v>0</v>
      </c>
      <c r="X49">
        <f ca="1">('1、课程目标与考核方式'!$C$7*'4、平时成绩'!$C49*0.01+'1、课程目标与考核方式'!$D$7*'4、平时成绩'!$D49*0.01+'1、课程目标与考核方式'!$E$7*'4、平时成绩'!$E49*0.01+'1、课程目标与考核方式'!$F$7*'4、平时成绩'!$F49*0.01+'1、课程目标与考核方式'!$G$7*'4、平时成绩'!$G49*0.01)/SUM('1、课程目标与考核方式'!$C$3:$G$3)</f>
        <v>0</v>
      </c>
      <c r="Y49">
        <f ca="1">('1、课程目标与考核方式'!$C$8*'4、平时成绩'!$C49*0.01+'1、课程目标与考核方式'!$D$8*'4、平时成绩'!$D49*0.01+'1、课程目标与考核方式'!$E$8*'4、平时成绩'!$E49*0.01+'1、课程目标与考核方式'!$F$8*'4、平时成绩'!$F49*0.01+'1、课程目标与考核方式'!$G$8*'4、平时成绩'!$G49*0.01)/SUM('1、课程目标与考核方式'!$C$3:$G$3)</f>
        <v>0</v>
      </c>
      <c r="Z49">
        <f ca="1">('1、课程目标与考核方式'!$C$9*'4、平时成绩'!$C49*0.01+'1、课程目标与考核方式'!$D$9*'4、平时成绩'!$D49*0.01+'1、课程目标与考核方式'!$E$9*'4、平时成绩'!$E49*0.01+'1、课程目标与考核方式'!$F$9*'4、平时成绩'!$F49*0.01+'1、课程目标与考核方式'!$G$9*'4、平时成绩'!$G49*0.01)/SUM('1、课程目标与考核方式'!$C$3:$G$3)</f>
        <v>0</v>
      </c>
      <c r="AA49">
        <f ca="1">('1、课程目标与考核方式'!$C$10*'4、平时成绩'!$C49*0.01+'1、课程目标与考核方式'!$D$10*'4、平时成绩'!$D49*0.01+'1、课程目标与考核方式'!$E$10*'4、平时成绩'!$E49*0.01+'1、课程目标与考核方式'!$F$10*'4、平时成绩'!$F49*0.01+'1、课程目标与考核方式'!$G$10*'4、平时成绩'!$G49*0.01)/SUM('1、课程目标与考核方式'!$C$3:$G$3)</f>
        <v>0</v>
      </c>
      <c r="AB49">
        <f>'3、期末成绩'!C49/'2、试卷（期末题目-课程目标）'!$C$2</f>
        <v>0.95</v>
      </c>
      <c r="AC49">
        <f>'3、期末成绩'!D49/'2、试卷（期末题目-课程目标）'!$C$3</f>
        <v>0.95</v>
      </c>
    </row>
    <row r="50" spans="10:29">
      <c r="J50" s="243" t="str">
        <f>IF(ISBLANK('3、期末成绩'!A50)," ",'3、期末成绩'!A50)</f>
        <v>1653214</v>
      </c>
      <c r="K50" s="244" t="str">
        <f>IF(J50=" "," ",VLOOKUP(J50,'3、期末成绩'!$A$2:$B$201,2,FALSE))</f>
        <v>冯昊樑</v>
      </c>
      <c r="L50">
        <f ca="1">0.01*(T50*SUM('1、课程目标与考核方式'!$C$13:$G$13)+AB50*'1、课程目标与考核方式'!$H$13)</f>
        <v>0.7165</v>
      </c>
      <c r="M50">
        <f ca="1">0.01*(U50*SUM('1、课程目标与考核方式'!$C$13:$G$13)+AC50*'1、课程目标与考核方式'!$H$13)</f>
        <v>0.7165</v>
      </c>
      <c r="N50">
        <f ca="1">0.01*(V50*SUM('1、课程目标与考核方式'!$C$13:$G$13)+AD50*'1、课程目标与考核方式'!$H$13)</f>
        <v>0.2415</v>
      </c>
      <c r="O50">
        <f ca="1">0.01*(W50*SUM('1、课程目标与考核方式'!$C$13:$G$13)+AE50*'1、课程目标与考核方式'!$H$13)</f>
        <v>0</v>
      </c>
      <c r="P50">
        <f ca="1">0.01*(X50*SUM('1、课程目标与考核方式'!$C$13:$G$13)+AF50*'1、课程目标与考核方式'!$H$13)</f>
        <v>0</v>
      </c>
      <c r="Q50">
        <f ca="1">0.01*(Y50*SUM('1、课程目标与考核方式'!$C$13:$G$13)+AG50*'1、课程目标与考核方式'!$H$13)</f>
        <v>0</v>
      </c>
      <c r="R50">
        <f ca="1">0.01*(Z50*SUM('1、课程目标与考核方式'!$C$13:$G$13)+AH50*'1、课程目标与考核方式'!$H$13)</f>
        <v>0</v>
      </c>
      <c r="S50">
        <f ca="1">0.01*(AA50*SUM('1、课程目标与考核方式'!$C$13:$G$13)+AI50*'1、课程目标与考核方式'!$H$13)</f>
        <v>0</v>
      </c>
      <c r="T50">
        <f ca="1">('1、课程目标与考核方式'!$C$3*'4、平时成绩'!$C50*0.01+'1、课程目标与考核方式'!$D$3*'4、平时成绩'!$D50*0.01+'1、课程目标与考核方式'!$E$3*'4、平时成绩'!$E50*0.01+'1、课程目标与考核方式'!$F$3*'4、平时成绩'!$F50*0.01+'1、课程目标与考核方式'!$G$3*'4、平时成绩'!$G50*0.01)/SUM('1、课程目标与考核方式'!$C$3:$G$3)</f>
        <v>0.894444444444444</v>
      </c>
      <c r="U50">
        <f ca="1">('1、课程目标与考核方式'!$C$4*'4、平时成绩'!$C50*0.01+'1、课程目标与考核方式'!$D$4*'4、平时成绩'!$D50*0.01+'1、课程目标与考核方式'!$E$4*'4、平时成绩'!$E50*0.01+'1、课程目标与考核方式'!$F$4*'4、平时成绩'!$F50*0.01+'1、课程目标与考核方式'!$G$4*'4、平时成绩'!$G50*0.01)/SUM('1、课程目标与考核方式'!$C$3:$G$3)</f>
        <v>0.894444444444444</v>
      </c>
      <c r="V50">
        <f ca="1">('1、课程目标与考核方式'!$C$5*'4、平时成绩'!$C50*0.01+'1、课程目标与考核方式'!$D$5*'4、平时成绩'!$D50*0.01+'1、课程目标与考核方式'!$E$5*'4、平时成绩'!$E50*0.01+'1、课程目标与考核方式'!$F$5*'4、平时成绩'!$F50*0.01+'1、课程目标与考核方式'!$G$5*'4、平时成绩'!$G50*0.01)/SUM('1、课程目标与考核方式'!$C$3:$G$3)</f>
        <v>0.894444444444444</v>
      </c>
      <c r="W50">
        <f ca="1">('1、课程目标与考核方式'!$C$6*'4、平时成绩'!$C50*0.01+'1、课程目标与考核方式'!$D$6*'4、平时成绩'!$D50*0.01+'1、课程目标与考核方式'!$E$6*'4、平时成绩'!$E50*0.01+'1、课程目标与考核方式'!$F$6*'4、平时成绩'!$F50*0.01+'1、课程目标与考核方式'!$G$6*'4、平时成绩'!$G50*0.01)/SUM('1、课程目标与考核方式'!$C$3:$G$3)</f>
        <v>0</v>
      </c>
      <c r="X50">
        <f ca="1">('1、课程目标与考核方式'!$C$7*'4、平时成绩'!$C50*0.01+'1、课程目标与考核方式'!$D$7*'4、平时成绩'!$D50*0.01+'1、课程目标与考核方式'!$E$7*'4、平时成绩'!$E50*0.01+'1、课程目标与考核方式'!$F$7*'4、平时成绩'!$F50*0.01+'1、课程目标与考核方式'!$G$7*'4、平时成绩'!$G50*0.01)/SUM('1、课程目标与考核方式'!$C$3:$G$3)</f>
        <v>0</v>
      </c>
      <c r="Y50">
        <f ca="1">('1、课程目标与考核方式'!$C$8*'4、平时成绩'!$C50*0.01+'1、课程目标与考核方式'!$D$8*'4、平时成绩'!$D50*0.01+'1、课程目标与考核方式'!$E$8*'4、平时成绩'!$E50*0.01+'1、课程目标与考核方式'!$F$8*'4、平时成绩'!$F50*0.01+'1、课程目标与考核方式'!$G$8*'4、平时成绩'!$G50*0.01)/SUM('1、课程目标与考核方式'!$C$3:$G$3)</f>
        <v>0</v>
      </c>
      <c r="Z50">
        <f ca="1">('1、课程目标与考核方式'!$C$9*'4、平时成绩'!$C50*0.01+'1、课程目标与考核方式'!$D$9*'4、平时成绩'!$D50*0.01+'1、课程目标与考核方式'!$E$9*'4、平时成绩'!$E50*0.01+'1、课程目标与考核方式'!$F$9*'4、平时成绩'!$F50*0.01+'1、课程目标与考核方式'!$G$9*'4、平时成绩'!$G50*0.01)/SUM('1、课程目标与考核方式'!$C$3:$G$3)</f>
        <v>0</v>
      </c>
      <c r="AA50">
        <f ca="1">('1、课程目标与考核方式'!$C$10*'4、平时成绩'!$C50*0.01+'1、课程目标与考核方式'!$D$10*'4、平时成绩'!$D50*0.01+'1、课程目标与考核方式'!$E$10*'4、平时成绩'!$E50*0.01+'1、课程目标与考核方式'!$F$10*'4、平时成绩'!$F50*0.01+'1、课程目标与考核方式'!$G$10*'4、平时成绩'!$G50*0.01)/SUM('1、课程目标与考核方式'!$C$3:$G$3)</f>
        <v>0</v>
      </c>
      <c r="AB50">
        <f>'3、期末成绩'!C50/'2、试卷（期末题目-课程目标）'!$C$2</f>
        <v>0.95</v>
      </c>
      <c r="AC50">
        <f>'3、期末成绩'!D50/'2、试卷（期末题目-课程目标）'!$C$3</f>
        <v>0.95</v>
      </c>
    </row>
    <row r="51" spans="10:29">
      <c r="J51" s="243" t="str">
        <f>IF(ISBLANK('3、期末成绩'!A51)," ",'3、期末成绩'!A51)</f>
        <v>1653215</v>
      </c>
      <c r="K51" s="244" t="str">
        <f>IF(J51=" "," ",VLOOKUP(J51,'3、期末成绩'!$A$2:$B$201,2,FALSE))</f>
        <v>陈伟刚</v>
      </c>
      <c r="L51">
        <f ca="1">0.01*(T51*SUM('1、课程目标与考核方式'!$C$13:$G$13)+AB51*'1、课程目标与考核方式'!$H$13)</f>
        <v>0.7279</v>
      </c>
      <c r="M51">
        <f ca="1">0.01*(U51*SUM('1、课程目标与考核方式'!$C$13:$G$13)+AC51*'1、课程目标与考核方式'!$H$13)</f>
        <v>0.7279</v>
      </c>
      <c r="N51">
        <f ca="1">0.01*(V51*SUM('1、课程目标与考核方式'!$C$13:$G$13)+AD51*'1、课程目标与考核方式'!$H$13)</f>
        <v>0.2529</v>
      </c>
      <c r="O51">
        <f ca="1">0.01*(W51*SUM('1、课程目标与考核方式'!$C$13:$G$13)+AE51*'1、课程目标与考核方式'!$H$13)</f>
        <v>0</v>
      </c>
      <c r="P51">
        <f ca="1">0.01*(X51*SUM('1、课程目标与考核方式'!$C$13:$G$13)+AF51*'1、课程目标与考核方式'!$H$13)</f>
        <v>0</v>
      </c>
      <c r="Q51">
        <f ca="1">0.01*(Y51*SUM('1、课程目标与考核方式'!$C$13:$G$13)+AG51*'1、课程目标与考核方式'!$H$13)</f>
        <v>0</v>
      </c>
      <c r="R51">
        <f ca="1">0.01*(Z51*SUM('1、课程目标与考核方式'!$C$13:$G$13)+AH51*'1、课程目标与考核方式'!$H$13)</f>
        <v>0</v>
      </c>
      <c r="S51">
        <f ca="1">0.01*(AA51*SUM('1、课程目标与考核方式'!$C$13:$G$13)+AI51*'1、课程目标与考核方式'!$H$13)</f>
        <v>0</v>
      </c>
      <c r="T51">
        <f ca="1">('1、课程目标与考核方式'!$C$3*'4、平时成绩'!$C51*0.01+'1、课程目标与考核方式'!$D$3*'4、平时成绩'!$D51*0.01+'1、课程目标与考核方式'!$E$3*'4、平时成绩'!$E51*0.01+'1、课程目标与考核方式'!$F$3*'4、平时成绩'!$F51*0.01+'1、课程目标与考核方式'!$G$3*'4、平时成绩'!$G51*0.01)/SUM('1、课程目标与考核方式'!$C$3:$G$3)</f>
        <v>0.936666666666667</v>
      </c>
      <c r="U51">
        <f ca="1">('1、课程目标与考核方式'!$C$4*'4、平时成绩'!$C51*0.01+'1、课程目标与考核方式'!$D$4*'4、平时成绩'!$D51*0.01+'1、课程目标与考核方式'!$E$4*'4、平时成绩'!$E51*0.01+'1、课程目标与考核方式'!$F$4*'4、平时成绩'!$F51*0.01+'1、课程目标与考核方式'!$G$4*'4、平时成绩'!$G51*0.01)/SUM('1、课程目标与考核方式'!$C$3:$G$3)</f>
        <v>0.936666666666667</v>
      </c>
      <c r="V51">
        <f ca="1">('1、课程目标与考核方式'!$C$5*'4、平时成绩'!$C51*0.01+'1、课程目标与考核方式'!$D$5*'4、平时成绩'!$D51*0.01+'1、课程目标与考核方式'!$E$5*'4、平时成绩'!$E51*0.01+'1、课程目标与考核方式'!$F$5*'4、平时成绩'!$F51*0.01+'1、课程目标与考核方式'!$G$5*'4、平时成绩'!$G51*0.01)/SUM('1、课程目标与考核方式'!$C$3:$G$3)</f>
        <v>0.936666666666667</v>
      </c>
      <c r="W51">
        <f ca="1">('1、课程目标与考核方式'!$C$6*'4、平时成绩'!$C51*0.01+'1、课程目标与考核方式'!$D$6*'4、平时成绩'!$D51*0.01+'1、课程目标与考核方式'!$E$6*'4、平时成绩'!$E51*0.01+'1、课程目标与考核方式'!$F$6*'4、平时成绩'!$F51*0.01+'1、课程目标与考核方式'!$G$6*'4、平时成绩'!$G51*0.01)/SUM('1、课程目标与考核方式'!$C$3:$G$3)</f>
        <v>0</v>
      </c>
      <c r="X51">
        <f ca="1">('1、课程目标与考核方式'!$C$7*'4、平时成绩'!$C51*0.01+'1、课程目标与考核方式'!$D$7*'4、平时成绩'!$D51*0.01+'1、课程目标与考核方式'!$E$7*'4、平时成绩'!$E51*0.01+'1、课程目标与考核方式'!$F$7*'4、平时成绩'!$F51*0.01+'1、课程目标与考核方式'!$G$7*'4、平时成绩'!$G51*0.01)/SUM('1、课程目标与考核方式'!$C$3:$G$3)</f>
        <v>0</v>
      </c>
      <c r="Y51">
        <f ca="1">('1、课程目标与考核方式'!$C$8*'4、平时成绩'!$C51*0.01+'1、课程目标与考核方式'!$D$8*'4、平时成绩'!$D51*0.01+'1、课程目标与考核方式'!$E$8*'4、平时成绩'!$E51*0.01+'1、课程目标与考核方式'!$F$8*'4、平时成绩'!$F51*0.01+'1、课程目标与考核方式'!$G$8*'4、平时成绩'!$G51*0.01)/SUM('1、课程目标与考核方式'!$C$3:$G$3)</f>
        <v>0</v>
      </c>
      <c r="Z51">
        <f ca="1">('1、课程目标与考核方式'!$C$9*'4、平时成绩'!$C51*0.01+'1、课程目标与考核方式'!$D$9*'4、平时成绩'!$D51*0.01+'1、课程目标与考核方式'!$E$9*'4、平时成绩'!$E51*0.01+'1、课程目标与考核方式'!$F$9*'4、平时成绩'!$F51*0.01+'1、课程目标与考核方式'!$G$9*'4、平时成绩'!$G51*0.01)/SUM('1、课程目标与考核方式'!$C$3:$G$3)</f>
        <v>0</v>
      </c>
      <c r="AA51">
        <f ca="1">('1、课程目标与考核方式'!$C$10*'4、平时成绩'!$C51*0.01+'1、课程目标与考核方式'!$D$10*'4、平时成绩'!$D51*0.01+'1、课程目标与考核方式'!$E$10*'4、平时成绩'!$E51*0.01+'1、课程目标与考核方式'!$F$10*'4、平时成绩'!$F51*0.01+'1、课程目标与考核方式'!$G$10*'4、平时成绩'!$G51*0.01)/SUM('1、课程目标与考核方式'!$C$3:$G$3)</f>
        <v>0</v>
      </c>
      <c r="AB51">
        <f>'3、期末成绩'!C51/'2、试卷（期末题目-课程目标）'!$C$2</f>
        <v>0.95</v>
      </c>
      <c r="AC51">
        <f>'3、期末成绩'!D51/'2、试卷（期末题目-课程目标）'!$C$3</f>
        <v>0.95</v>
      </c>
    </row>
    <row r="52" spans="10:29">
      <c r="J52" s="243" t="str">
        <f>IF(ISBLANK('3、期末成绩'!A52)," ",'3、期末成绩'!A52)</f>
        <v>1653216</v>
      </c>
      <c r="K52" s="244" t="str">
        <f>IF(J52=" "," ",VLOOKUP(J52,'3、期末成绩'!$A$2:$B$201,2,FALSE))</f>
        <v>郭金宇</v>
      </c>
      <c r="L52">
        <f ca="1">0.01*(T52*SUM('1、课程目标与考核方式'!$C$13:$G$13)+AB52*'1、课程目标与考核方式'!$H$13)</f>
        <v>0.727</v>
      </c>
      <c r="M52">
        <f ca="1">0.01*(U52*SUM('1、课程目标与考核方式'!$C$13:$G$13)+AC52*'1、课程目标与考核方式'!$H$13)</f>
        <v>0.727</v>
      </c>
      <c r="N52">
        <f ca="1">0.01*(V52*SUM('1、课程目标与考核方式'!$C$13:$G$13)+AD52*'1、课程目标与考核方式'!$H$13)</f>
        <v>0.252</v>
      </c>
      <c r="O52">
        <f ca="1">0.01*(W52*SUM('1、课程目标与考核方式'!$C$13:$G$13)+AE52*'1、课程目标与考核方式'!$H$13)</f>
        <v>0</v>
      </c>
      <c r="P52">
        <f ca="1">0.01*(X52*SUM('1、课程目标与考核方式'!$C$13:$G$13)+AF52*'1、课程目标与考核方式'!$H$13)</f>
        <v>0</v>
      </c>
      <c r="Q52">
        <f ca="1">0.01*(Y52*SUM('1、课程目标与考核方式'!$C$13:$G$13)+AG52*'1、课程目标与考核方式'!$H$13)</f>
        <v>0</v>
      </c>
      <c r="R52">
        <f ca="1">0.01*(Z52*SUM('1、课程目标与考核方式'!$C$13:$G$13)+AH52*'1、课程目标与考核方式'!$H$13)</f>
        <v>0</v>
      </c>
      <c r="S52">
        <f ca="1">0.01*(AA52*SUM('1、课程目标与考核方式'!$C$13:$G$13)+AI52*'1、课程目标与考核方式'!$H$13)</f>
        <v>0</v>
      </c>
      <c r="T52">
        <f ca="1">('1、课程目标与考核方式'!$C$3*'4、平时成绩'!$C52*0.01+'1、课程目标与考核方式'!$D$3*'4、平时成绩'!$D52*0.01+'1、课程目标与考核方式'!$E$3*'4、平时成绩'!$E52*0.01+'1、课程目标与考核方式'!$F$3*'4、平时成绩'!$F52*0.01+'1、课程目标与考核方式'!$G$3*'4、平时成绩'!$G52*0.01)/SUM('1、课程目标与考核方式'!$C$3:$G$3)</f>
        <v>0.933333333333333</v>
      </c>
      <c r="U52">
        <f ca="1">('1、课程目标与考核方式'!$C$4*'4、平时成绩'!$C52*0.01+'1、课程目标与考核方式'!$D$4*'4、平时成绩'!$D52*0.01+'1、课程目标与考核方式'!$E$4*'4、平时成绩'!$E52*0.01+'1、课程目标与考核方式'!$F$4*'4、平时成绩'!$F52*0.01+'1、课程目标与考核方式'!$G$4*'4、平时成绩'!$G52*0.01)/SUM('1、课程目标与考核方式'!$C$3:$G$3)</f>
        <v>0.933333333333333</v>
      </c>
      <c r="V52">
        <f ca="1">('1、课程目标与考核方式'!$C$5*'4、平时成绩'!$C52*0.01+'1、课程目标与考核方式'!$D$5*'4、平时成绩'!$D52*0.01+'1、课程目标与考核方式'!$E$5*'4、平时成绩'!$E52*0.01+'1、课程目标与考核方式'!$F$5*'4、平时成绩'!$F52*0.01+'1、课程目标与考核方式'!$G$5*'4、平时成绩'!$G52*0.01)/SUM('1、课程目标与考核方式'!$C$3:$G$3)</f>
        <v>0.933333333333333</v>
      </c>
      <c r="W52">
        <f ca="1">('1、课程目标与考核方式'!$C$6*'4、平时成绩'!$C52*0.01+'1、课程目标与考核方式'!$D$6*'4、平时成绩'!$D52*0.01+'1、课程目标与考核方式'!$E$6*'4、平时成绩'!$E52*0.01+'1、课程目标与考核方式'!$F$6*'4、平时成绩'!$F52*0.01+'1、课程目标与考核方式'!$G$6*'4、平时成绩'!$G52*0.01)/SUM('1、课程目标与考核方式'!$C$3:$G$3)</f>
        <v>0</v>
      </c>
      <c r="X52">
        <f ca="1">('1、课程目标与考核方式'!$C$7*'4、平时成绩'!$C52*0.01+'1、课程目标与考核方式'!$D$7*'4、平时成绩'!$D52*0.01+'1、课程目标与考核方式'!$E$7*'4、平时成绩'!$E52*0.01+'1、课程目标与考核方式'!$F$7*'4、平时成绩'!$F52*0.01+'1、课程目标与考核方式'!$G$7*'4、平时成绩'!$G52*0.01)/SUM('1、课程目标与考核方式'!$C$3:$G$3)</f>
        <v>0</v>
      </c>
      <c r="Y52">
        <f ca="1">('1、课程目标与考核方式'!$C$8*'4、平时成绩'!$C52*0.01+'1、课程目标与考核方式'!$D$8*'4、平时成绩'!$D52*0.01+'1、课程目标与考核方式'!$E$8*'4、平时成绩'!$E52*0.01+'1、课程目标与考核方式'!$F$8*'4、平时成绩'!$F52*0.01+'1、课程目标与考核方式'!$G$8*'4、平时成绩'!$G52*0.01)/SUM('1、课程目标与考核方式'!$C$3:$G$3)</f>
        <v>0</v>
      </c>
      <c r="Z52">
        <f ca="1">('1、课程目标与考核方式'!$C$9*'4、平时成绩'!$C52*0.01+'1、课程目标与考核方式'!$D$9*'4、平时成绩'!$D52*0.01+'1、课程目标与考核方式'!$E$9*'4、平时成绩'!$E52*0.01+'1、课程目标与考核方式'!$F$9*'4、平时成绩'!$F52*0.01+'1、课程目标与考核方式'!$G$9*'4、平时成绩'!$G52*0.01)/SUM('1、课程目标与考核方式'!$C$3:$G$3)</f>
        <v>0</v>
      </c>
      <c r="AA52">
        <f ca="1">('1、课程目标与考核方式'!$C$10*'4、平时成绩'!$C52*0.01+'1、课程目标与考核方式'!$D$10*'4、平时成绩'!$D52*0.01+'1、课程目标与考核方式'!$E$10*'4、平时成绩'!$E52*0.01+'1、课程目标与考核方式'!$F$10*'4、平时成绩'!$F52*0.01+'1、课程目标与考核方式'!$G$10*'4、平时成绩'!$G52*0.01)/SUM('1、课程目标与考核方式'!$C$3:$G$3)</f>
        <v>0</v>
      </c>
      <c r="AB52">
        <f>'3、期末成绩'!C52/'2、试卷（期末题目-课程目标）'!$C$2</f>
        <v>0.95</v>
      </c>
      <c r="AC52">
        <f>'3、期末成绩'!D52/'2、试卷（期末题目-课程目标）'!$C$3</f>
        <v>0.95</v>
      </c>
    </row>
    <row r="53" spans="10:29">
      <c r="J53" s="243" t="str">
        <f>IF(ISBLANK('3、期末成绩'!A53)," ",'3、期末成绩'!A53)</f>
        <v>1653217</v>
      </c>
      <c r="K53" s="244" t="str">
        <f>IF(J53=" "," ",VLOOKUP(J53,'3、期末成绩'!$A$2:$B$201,2,FALSE))</f>
        <v>高川</v>
      </c>
      <c r="L53">
        <f ca="1">0.01*(T53*SUM('1、课程目标与考核方式'!$C$13:$G$13)+AB53*'1、课程目标与考核方式'!$H$13)</f>
        <v>0.6799</v>
      </c>
      <c r="M53">
        <f ca="1">0.01*(U53*SUM('1、课程目标与考核方式'!$C$13:$G$13)+AC53*'1、课程目标与考核方式'!$H$13)</f>
        <v>0.6799</v>
      </c>
      <c r="N53">
        <f ca="1">0.01*(V53*SUM('1、课程目标与考核方式'!$C$13:$G$13)+AD53*'1、课程目标与考核方式'!$H$13)</f>
        <v>0.2049</v>
      </c>
      <c r="O53">
        <f ca="1">0.01*(W53*SUM('1、课程目标与考核方式'!$C$13:$G$13)+AE53*'1、课程目标与考核方式'!$H$13)</f>
        <v>0</v>
      </c>
      <c r="P53">
        <f ca="1">0.01*(X53*SUM('1、课程目标与考核方式'!$C$13:$G$13)+AF53*'1、课程目标与考核方式'!$H$13)</f>
        <v>0</v>
      </c>
      <c r="Q53">
        <f ca="1">0.01*(Y53*SUM('1、课程目标与考核方式'!$C$13:$G$13)+AG53*'1、课程目标与考核方式'!$H$13)</f>
        <v>0</v>
      </c>
      <c r="R53">
        <f ca="1">0.01*(Z53*SUM('1、课程目标与考核方式'!$C$13:$G$13)+AH53*'1、课程目标与考核方式'!$H$13)</f>
        <v>0</v>
      </c>
      <c r="S53">
        <f ca="1">0.01*(AA53*SUM('1、课程目标与考核方式'!$C$13:$G$13)+AI53*'1、课程目标与考核方式'!$H$13)</f>
        <v>0</v>
      </c>
      <c r="T53">
        <f ca="1">('1、课程目标与考核方式'!$C$3*'4、平时成绩'!$C53*0.01+'1、课程目标与考核方式'!$D$3*'4、平时成绩'!$D53*0.01+'1、课程目标与考核方式'!$E$3*'4、平时成绩'!$E53*0.01+'1、课程目标与考核方式'!$F$3*'4、平时成绩'!$F53*0.01+'1、课程目标与考核方式'!$G$3*'4、平时成绩'!$G53*0.01)/SUM('1、课程目标与考核方式'!$C$3:$G$3)</f>
        <v>0.758888888888889</v>
      </c>
      <c r="U53">
        <f ca="1">('1、课程目标与考核方式'!$C$4*'4、平时成绩'!$C53*0.01+'1、课程目标与考核方式'!$D$4*'4、平时成绩'!$D53*0.01+'1、课程目标与考核方式'!$E$4*'4、平时成绩'!$E53*0.01+'1、课程目标与考核方式'!$F$4*'4、平时成绩'!$F53*0.01+'1、课程目标与考核方式'!$G$4*'4、平时成绩'!$G53*0.01)/SUM('1、课程目标与考核方式'!$C$3:$G$3)</f>
        <v>0.758888888888889</v>
      </c>
      <c r="V53">
        <f ca="1">('1、课程目标与考核方式'!$C$5*'4、平时成绩'!$C53*0.01+'1、课程目标与考核方式'!$D$5*'4、平时成绩'!$D53*0.01+'1、课程目标与考核方式'!$E$5*'4、平时成绩'!$E53*0.01+'1、课程目标与考核方式'!$F$5*'4、平时成绩'!$F53*0.01+'1、课程目标与考核方式'!$G$5*'4、平时成绩'!$G53*0.01)/SUM('1、课程目标与考核方式'!$C$3:$G$3)</f>
        <v>0.758888888888889</v>
      </c>
      <c r="W53">
        <f ca="1">('1、课程目标与考核方式'!$C$6*'4、平时成绩'!$C53*0.01+'1、课程目标与考核方式'!$D$6*'4、平时成绩'!$D53*0.01+'1、课程目标与考核方式'!$E$6*'4、平时成绩'!$E53*0.01+'1、课程目标与考核方式'!$F$6*'4、平时成绩'!$F53*0.01+'1、课程目标与考核方式'!$G$6*'4、平时成绩'!$G53*0.01)/SUM('1、课程目标与考核方式'!$C$3:$G$3)</f>
        <v>0</v>
      </c>
      <c r="X53">
        <f ca="1">('1、课程目标与考核方式'!$C$7*'4、平时成绩'!$C53*0.01+'1、课程目标与考核方式'!$D$7*'4、平时成绩'!$D53*0.01+'1、课程目标与考核方式'!$E$7*'4、平时成绩'!$E53*0.01+'1、课程目标与考核方式'!$F$7*'4、平时成绩'!$F53*0.01+'1、课程目标与考核方式'!$G$7*'4、平时成绩'!$G53*0.01)/SUM('1、课程目标与考核方式'!$C$3:$G$3)</f>
        <v>0</v>
      </c>
      <c r="Y53">
        <f ca="1">('1、课程目标与考核方式'!$C$8*'4、平时成绩'!$C53*0.01+'1、课程目标与考核方式'!$D$8*'4、平时成绩'!$D53*0.01+'1、课程目标与考核方式'!$E$8*'4、平时成绩'!$E53*0.01+'1、课程目标与考核方式'!$F$8*'4、平时成绩'!$F53*0.01+'1、课程目标与考核方式'!$G$8*'4、平时成绩'!$G53*0.01)/SUM('1、课程目标与考核方式'!$C$3:$G$3)</f>
        <v>0</v>
      </c>
      <c r="Z53">
        <f ca="1">('1、课程目标与考核方式'!$C$9*'4、平时成绩'!$C53*0.01+'1、课程目标与考核方式'!$D$9*'4、平时成绩'!$D53*0.01+'1、课程目标与考核方式'!$E$9*'4、平时成绩'!$E53*0.01+'1、课程目标与考核方式'!$F$9*'4、平时成绩'!$F53*0.01+'1、课程目标与考核方式'!$G$9*'4、平时成绩'!$G53*0.01)/SUM('1、课程目标与考核方式'!$C$3:$G$3)</f>
        <v>0</v>
      </c>
      <c r="AA53">
        <f ca="1">('1、课程目标与考核方式'!$C$10*'4、平时成绩'!$C53*0.01+'1、课程目标与考核方式'!$D$10*'4、平时成绩'!$D53*0.01+'1、课程目标与考核方式'!$E$10*'4、平时成绩'!$E53*0.01+'1、课程目标与考核方式'!$F$10*'4、平时成绩'!$F53*0.01+'1、课程目标与考核方式'!$G$10*'4、平时成绩'!$G53*0.01)/SUM('1、课程目标与考核方式'!$C$3:$G$3)</f>
        <v>0</v>
      </c>
      <c r="AB53">
        <f>'3、期末成绩'!C53/'2、试卷（期末题目-课程目标）'!$C$2</f>
        <v>0.95</v>
      </c>
      <c r="AC53">
        <f>'3、期末成绩'!D53/'2、试卷（期末题目-课程目标）'!$C$3</f>
        <v>0.95</v>
      </c>
    </row>
    <row r="54" spans="10:29">
      <c r="J54" s="243" t="str">
        <f>IF(ISBLANK('3、期末成绩'!A54)," ",'3、期末成绩'!A54)</f>
        <v>1653218</v>
      </c>
      <c r="K54" s="244" t="str">
        <f>IF(J54=" "," ",VLOOKUP(J54,'3、期末成绩'!$A$2:$B$201,2,FALSE))</f>
        <v>马伟杰</v>
      </c>
      <c r="L54">
        <f ca="1">0.01*(T54*SUM('1、课程目标与考核方式'!$C$13:$G$13)+AB54*'1、课程目标与考核方式'!$H$13)</f>
        <v>0.6895</v>
      </c>
      <c r="M54">
        <f ca="1">0.01*(U54*SUM('1、课程目标与考核方式'!$C$13:$G$13)+AC54*'1、课程目标与考核方式'!$H$13)</f>
        <v>0.6895</v>
      </c>
      <c r="N54">
        <f ca="1">0.01*(V54*SUM('1、课程目标与考核方式'!$C$13:$G$13)+AD54*'1、课程目标与考核方式'!$H$13)</f>
        <v>0.2145</v>
      </c>
      <c r="O54">
        <f ca="1">0.01*(W54*SUM('1、课程目标与考核方式'!$C$13:$G$13)+AE54*'1、课程目标与考核方式'!$H$13)</f>
        <v>0</v>
      </c>
      <c r="P54">
        <f ca="1">0.01*(X54*SUM('1、课程目标与考核方式'!$C$13:$G$13)+AF54*'1、课程目标与考核方式'!$H$13)</f>
        <v>0</v>
      </c>
      <c r="Q54">
        <f ca="1">0.01*(Y54*SUM('1、课程目标与考核方式'!$C$13:$G$13)+AG54*'1、课程目标与考核方式'!$H$13)</f>
        <v>0</v>
      </c>
      <c r="R54">
        <f ca="1">0.01*(Z54*SUM('1、课程目标与考核方式'!$C$13:$G$13)+AH54*'1、课程目标与考核方式'!$H$13)</f>
        <v>0</v>
      </c>
      <c r="S54">
        <f ca="1">0.01*(AA54*SUM('1、课程目标与考核方式'!$C$13:$G$13)+AI54*'1、课程目标与考核方式'!$H$13)</f>
        <v>0</v>
      </c>
      <c r="T54">
        <f ca="1">('1、课程目标与考核方式'!$C$3*'4、平时成绩'!$C54*0.01+'1、课程目标与考核方式'!$D$3*'4、平时成绩'!$D54*0.01+'1、课程目标与考核方式'!$E$3*'4、平时成绩'!$E54*0.01+'1、课程目标与考核方式'!$F$3*'4、平时成绩'!$F54*0.01+'1、课程目标与考核方式'!$G$3*'4、平时成绩'!$G54*0.01)/SUM('1、课程目标与考核方式'!$C$3:$G$3)</f>
        <v>0.794444444444445</v>
      </c>
      <c r="U54">
        <f ca="1">('1、课程目标与考核方式'!$C$4*'4、平时成绩'!$C54*0.01+'1、课程目标与考核方式'!$D$4*'4、平时成绩'!$D54*0.01+'1、课程目标与考核方式'!$E$4*'4、平时成绩'!$E54*0.01+'1、课程目标与考核方式'!$F$4*'4、平时成绩'!$F54*0.01+'1、课程目标与考核方式'!$G$4*'4、平时成绩'!$G54*0.01)/SUM('1、课程目标与考核方式'!$C$3:$G$3)</f>
        <v>0.794444444444445</v>
      </c>
      <c r="V54">
        <f ca="1">('1、课程目标与考核方式'!$C$5*'4、平时成绩'!$C54*0.01+'1、课程目标与考核方式'!$D$5*'4、平时成绩'!$D54*0.01+'1、课程目标与考核方式'!$E$5*'4、平时成绩'!$E54*0.01+'1、课程目标与考核方式'!$F$5*'4、平时成绩'!$F54*0.01+'1、课程目标与考核方式'!$G$5*'4、平时成绩'!$G54*0.01)/SUM('1、课程目标与考核方式'!$C$3:$G$3)</f>
        <v>0.794444444444445</v>
      </c>
      <c r="W54">
        <f ca="1">('1、课程目标与考核方式'!$C$6*'4、平时成绩'!$C54*0.01+'1、课程目标与考核方式'!$D$6*'4、平时成绩'!$D54*0.01+'1、课程目标与考核方式'!$E$6*'4、平时成绩'!$E54*0.01+'1、课程目标与考核方式'!$F$6*'4、平时成绩'!$F54*0.01+'1、课程目标与考核方式'!$G$6*'4、平时成绩'!$G54*0.01)/SUM('1、课程目标与考核方式'!$C$3:$G$3)</f>
        <v>0</v>
      </c>
      <c r="X54">
        <f ca="1">('1、课程目标与考核方式'!$C$7*'4、平时成绩'!$C54*0.01+'1、课程目标与考核方式'!$D$7*'4、平时成绩'!$D54*0.01+'1、课程目标与考核方式'!$E$7*'4、平时成绩'!$E54*0.01+'1、课程目标与考核方式'!$F$7*'4、平时成绩'!$F54*0.01+'1、课程目标与考核方式'!$G$7*'4、平时成绩'!$G54*0.01)/SUM('1、课程目标与考核方式'!$C$3:$G$3)</f>
        <v>0</v>
      </c>
      <c r="Y54">
        <f ca="1">('1、课程目标与考核方式'!$C$8*'4、平时成绩'!$C54*0.01+'1、课程目标与考核方式'!$D$8*'4、平时成绩'!$D54*0.01+'1、课程目标与考核方式'!$E$8*'4、平时成绩'!$E54*0.01+'1、课程目标与考核方式'!$F$8*'4、平时成绩'!$F54*0.01+'1、课程目标与考核方式'!$G$8*'4、平时成绩'!$G54*0.01)/SUM('1、课程目标与考核方式'!$C$3:$G$3)</f>
        <v>0</v>
      </c>
      <c r="Z54">
        <f ca="1">('1、课程目标与考核方式'!$C$9*'4、平时成绩'!$C54*0.01+'1、课程目标与考核方式'!$D$9*'4、平时成绩'!$D54*0.01+'1、课程目标与考核方式'!$E$9*'4、平时成绩'!$E54*0.01+'1、课程目标与考核方式'!$F$9*'4、平时成绩'!$F54*0.01+'1、课程目标与考核方式'!$G$9*'4、平时成绩'!$G54*0.01)/SUM('1、课程目标与考核方式'!$C$3:$G$3)</f>
        <v>0</v>
      </c>
      <c r="AA54">
        <f ca="1">('1、课程目标与考核方式'!$C$10*'4、平时成绩'!$C54*0.01+'1、课程目标与考核方式'!$D$10*'4、平时成绩'!$D54*0.01+'1、课程目标与考核方式'!$E$10*'4、平时成绩'!$E54*0.01+'1、课程目标与考核方式'!$F$10*'4、平时成绩'!$F54*0.01+'1、课程目标与考核方式'!$G$10*'4、平时成绩'!$G54*0.01)/SUM('1、课程目标与考核方式'!$C$3:$G$3)</f>
        <v>0</v>
      </c>
      <c r="AB54">
        <f>'3、期末成绩'!C54/'2、试卷（期末题目-课程目标）'!$C$2</f>
        <v>0.95</v>
      </c>
      <c r="AC54">
        <f>'3、期末成绩'!D54/'2、试卷（期末题目-课程目标）'!$C$3</f>
        <v>0.95</v>
      </c>
    </row>
    <row r="55" spans="10:29">
      <c r="J55" s="243" t="str">
        <f>IF(ISBLANK('3、期末成绩'!A55)," ",'3、期末成绩'!A55)</f>
        <v>1653219</v>
      </c>
      <c r="K55" s="244" t="str">
        <f>IF(J55=" "," ",VLOOKUP(J55,'3、期末成绩'!$A$2:$B$201,2,FALSE))</f>
        <v>裴祥君</v>
      </c>
      <c r="L55">
        <f ca="1">0.01*(T55*SUM('1、课程目标与考核方式'!$C$13:$G$13)+AB55*'1、课程目标与考核方式'!$H$13)</f>
        <v>0.6925</v>
      </c>
      <c r="M55">
        <f ca="1">0.01*(U55*SUM('1、课程目标与考核方式'!$C$13:$G$13)+AC55*'1、课程目标与考核方式'!$H$13)</f>
        <v>0.6925</v>
      </c>
      <c r="N55">
        <f ca="1">0.01*(V55*SUM('1、课程目标与考核方式'!$C$13:$G$13)+AD55*'1、课程目标与考核方式'!$H$13)</f>
        <v>0.2175</v>
      </c>
      <c r="O55">
        <f ca="1">0.01*(W55*SUM('1、课程目标与考核方式'!$C$13:$G$13)+AE55*'1、课程目标与考核方式'!$H$13)</f>
        <v>0</v>
      </c>
      <c r="P55">
        <f ca="1">0.01*(X55*SUM('1、课程目标与考核方式'!$C$13:$G$13)+AF55*'1、课程目标与考核方式'!$H$13)</f>
        <v>0</v>
      </c>
      <c r="Q55">
        <f ca="1">0.01*(Y55*SUM('1、课程目标与考核方式'!$C$13:$G$13)+AG55*'1、课程目标与考核方式'!$H$13)</f>
        <v>0</v>
      </c>
      <c r="R55">
        <f ca="1">0.01*(Z55*SUM('1、课程目标与考核方式'!$C$13:$G$13)+AH55*'1、课程目标与考核方式'!$H$13)</f>
        <v>0</v>
      </c>
      <c r="S55">
        <f ca="1">0.01*(AA55*SUM('1、课程目标与考核方式'!$C$13:$G$13)+AI55*'1、课程目标与考核方式'!$H$13)</f>
        <v>0</v>
      </c>
      <c r="T55">
        <f ca="1">('1、课程目标与考核方式'!$C$3*'4、平时成绩'!$C55*0.01+'1、课程目标与考核方式'!$D$3*'4、平时成绩'!$D55*0.01+'1、课程目标与考核方式'!$E$3*'4、平时成绩'!$E55*0.01+'1、课程目标与考核方式'!$F$3*'4、平时成绩'!$F55*0.01+'1、课程目标与考核方式'!$G$3*'4、平时成绩'!$G55*0.01)/SUM('1、课程目标与考核方式'!$C$3:$G$3)</f>
        <v>0.805555555555556</v>
      </c>
      <c r="U55">
        <f ca="1">('1、课程目标与考核方式'!$C$4*'4、平时成绩'!$C55*0.01+'1、课程目标与考核方式'!$D$4*'4、平时成绩'!$D55*0.01+'1、课程目标与考核方式'!$E$4*'4、平时成绩'!$E55*0.01+'1、课程目标与考核方式'!$F$4*'4、平时成绩'!$F55*0.01+'1、课程目标与考核方式'!$G$4*'4、平时成绩'!$G55*0.01)/SUM('1、课程目标与考核方式'!$C$3:$G$3)</f>
        <v>0.805555555555556</v>
      </c>
      <c r="V55">
        <f ca="1">('1、课程目标与考核方式'!$C$5*'4、平时成绩'!$C55*0.01+'1、课程目标与考核方式'!$D$5*'4、平时成绩'!$D55*0.01+'1、课程目标与考核方式'!$E$5*'4、平时成绩'!$E55*0.01+'1、课程目标与考核方式'!$F$5*'4、平时成绩'!$F55*0.01+'1、课程目标与考核方式'!$G$5*'4、平时成绩'!$G55*0.01)/SUM('1、课程目标与考核方式'!$C$3:$G$3)</f>
        <v>0.805555555555556</v>
      </c>
      <c r="W55">
        <f ca="1">('1、课程目标与考核方式'!$C$6*'4、平时成绩'!$C55*0.01+'1、课程目标与考核方式'!$D$6*'4、平时成绩'!$D55*0.01+'1、课程目标与考核方式'!$E$6*'4、平时成绩'!$E55*0.01+'1、课程目标与考核方式'!$F$6*'4、平时成绩'!$F55*0.01+'1、课程目标与考核方式'!$G$6*'4、平时成绩'!$G55*0.01)/SUM('1、课程目标与考核方式'!$C$3:$G$3)</f>
        <v>0</v>
      </c>
      <c r="X55">
        <f ca="1">('1、课程目标与考核方式'!$C$7*'4、平时成绩'!$C55*0.01+'1、课程目标与考核方式'!$D$7*'4、平时成绩'!$D55*0.01+'1、课程目标与考核方式'!$E$7*'4、平时成绩'!$E55*0.01+'1、课程目标与考核方式'!$F$7*'4、平时成绩'!$F55*0.01+'1、课程目标与考核方式'!$G$7*'4、平时成绩'!$G55*0.01)/SUM('1、课程目标与考核方式'!$C$3:$G$3)</f>
        <v>0</v>
      </c>
      <c r="Y55">
        <f ca="1">('1、课程目标与考核方式'!$C$8*'4、平时成绩'!$C55*0.01+'1、课程目标与考核方式'!$D$8*'4、平时成绩'!$D55*0.01+'1、课程目标与考核方式'!$E$8*'4、平时成绩'!$E55*0.01+'1、课程目标与考核方式'!$F$8*'4、平时成绩'!$F55*0.01+'1、课程目标与考核方式'!$G$8*'4、平时成绩'!$G55*0.01)/SUM('1、课程目标与考核方式'!$C$3:$G$3)</f>
        <v>0</v>
      </c>
      <c r="Z55">
        <f ca="1">('1、课程目标与考核方式'!$C$9*'4、平时成绩'!$C55*0.01+'1、课程目标与考核方式'!$D$9*'4、平时成绩'!$D55*0.01+'1、课程目标与考核方式'!$E$9*'4、平时成绩'!$E55*0.01+'1、课程目标与考核方式'!$F$9*'4、平时成绩'!$F55*0.01+'1、课程目标与考核方式'!$G$9*'4、平时成绩'!$G55*0.01)/SUM('1、课程目标与考核方式'!$C$3:$G$3)</f>
        <v>0</v>
      </c>
      <c r="AA55">
        <f ca="1">('1、课程目标与考核方式'!$C$10*'4、平时成绩'!$C55*0.01+'1、课程目标与考核方式'!$D$10*'4、平时成绩'!$D55*0.01+'1、课程目标与考核方式'!$E$10*'4、平时成绩'!$E55*0.01+'1、课程目标与考核方式'!$F$10*'4、平时成绩'!$F55*0.01+'1、课程目标与考核方式'!$G$10*'4、平时成绩'!$G55*0.01)/SUM('1、课程目标与考核方式'!$C$3:$G$3)</f>
        <v>0</v>
      </c>
      <c r="AB55">
        <f>'3、期末成绩'!C55/'2、试卷（期末题目-课程目标）'!$C$2</f>
        <v>0.95</v>
      </c>
      <c r="AC55">
        <f>'3、期末成绩'!D55/'2、试卷（期末题目-课程目标）'!$C$3</f>
        <v>0.95</v>
      </c>
    </row>
    <row r="56" spans="10:29">
      <c r="J56" s="243" t="str">
        <f>IF(ISBLANK('3、期末成绩'!A56)," ",'3、期末成绩'!A56)</f>
        <v>1653220</v>
      </c>
      <c r="K56" s="244" t="str">
        <f>IF(J56=" "," ",VLOOKUP(J56,'3、期末成绩'!$A$2:$B$201,2,FALSE))</f>
        <v>李森</v>
      </c>
      <c r="L56">
        <f ca="1">0.01*(T56*SUM('1、课程目标与考核方式'!$C$13:$G$13)+AB56*'1、课程目标与考核方式'!$H$13)</f>
        <v>0.694</v>
      </c>
      <c r="M56">
        <f ca="1">0.01*(U56*SUM('1、课程目标与考核方式'!$C$13:$G$13)+AC56*'1、课程目标与考核方式'!$H$13)</f>
        <v>0.694</v>
      </c>
      <c r="N56">
        <f ca="1">0.01*(V56*SUM('1、课程目标与考核方式'!$C$13:$G$13)+AD56*'1、课程目标与考核方式'!$H$13)</f>
        <v>0.219</v>
      </c>
      <c r="O56">
        <f ca="1">0.01*(W56*SUM('1、课程目标与考核方式'!$C$13:$G$13)+AE56*'1、课程目标与考核方式'!$H$13)</f>
        <v>0</v>
      </c>
      <c r="P56">
        <f ca="1">0.01*(X56*SUM('1、课程目标与考核方式'!$C$13:$G$13)+AF56*'1、课程目标与考核方式'!$H$13)</f>
        <v>0</v>
      </c>
      <c r="Q56">
        <f ca="1">0.01*(Y56*SUM('1、课程目标与考核方式'!$C$13:$G$13)+AG56*'1、课程目标与考核方式'!$H$13)</f>
        <v>0</v>
      </c>
      <c r="R56">
        <f ca="1">0.01*(Z56*SUM('1、课程目标与考核方式'!$C$13:$G$13)+AH56*'1、课程目标与考核方式'!$H$13)</f>
        <v>0</v>
      </c>
      <c r="S56">
        <f ca="1">0.01*(AA56*SUM('1、课程目标与考核方式'!$C$13:$G$13)+AI56*'1、课程目标与考核方式'!$H$13)</f>
        <v>0</v>
      </c>
      <c r="T56">
        <f ca="1">('1、课程目标与考核方式'!$C$3*'4、平时成绩'!$C56*0.01+'1、课程目标与考核方式'!$D$3*'4、平时成绩'!$D56*0.01+'1、课程目标与考核方式'!$E$3*'4、平时成绩'!$E56*0.01+'1、课程目标与考核方式'!$F$3*'4、平时成绩'!$F56*0.01+'1、课程目标与考核方式'!$G$3*'4、平时成绩'!$G56*0.01)/SUM('1、课程目标与考核方式'!$C$3:$G$3)</f>
        <v>0.811111111111111</v>
      </c>
      <c r="U56">
        <f ca="1">('1、课程目标与考核方式'!$C$4*'4、平时成绩'!$C56*0.01+'1、课程目标与考核方式'!$D$4*'4、平时成绩'!$D56*0.01+'1、课程目标与考核方式'!$E$4*'4、平时成绩'!$E56*0.01+'1、课程目标与考核方式'!$F$4*'4、平时成绩'!$F56*0.01+'1、课程目标与考核方式'!$G$4*'4、平时成绩'!$G56*0.01)/SUM('1、课程目标与考核方式'!$C$3:$G$3)</f>
        <v>0.811111111111111</v>
      </c>
      <c r="V56">
        <f ca="1">('1、课程目标与考核方式'!$C$5*'4、平时成绩'!$C56*0.01+'1、课程目标与考核方式'!$D$5*'4、平时成绩'!$D56*0.01+'1、课程目标与考核方式'!$E$5*'4、平时成绩'!$E56*0.01+'1、课程目标与考核方式'!$F$5*'4、平时成绩'!$F56*0.01+'1、课程目标与考核方式'!$G$5*'4、平时成绩'!$G56*0.01)/SUM('1、课程目标与考核方式'!$C$3:$G$3)</f>
        <v>0.811111111111111</v>
      </c>
      <c r="W56">
        <f ca="1">('1、课程目标与考核方式'!$C$6*'4、平时成绩'!$C56*0.01+'1、课程目标与考核方式'!$D$6*'4、平时成绩'!$D56*0.01+'1、课程目标与考核方式'!$E$6*'4、平时成绩'!$E56*0.01+'1、课程目标与考核方式'!$F$6*'4、平时成绩'!$F56*0.01+'1、课程目标与考核方式'!$G$6*'4、平时成绩'!$G56*0.01)/SUM('1、课程目标与考核方式'!$C$3:$G$3)</f>
        <v>0</v>
      </c>
      <c r="X56">
        <f ca="1">('1、课程目标与考核方式'!$C$7*'4、平时成绩'!$C56*0.01+'1、课程目标与考核方式'!$D$7*'4、平时成绩'!$D56*0.01+'1、课程目标与考核方式'!$E$7*'4、平时成绩'!$E56*0.01+'1、课程目标与考核方式'!$F$7*'4、平时成绩'!$F56*0.01+'1、课程目标与考核方式'!$G$7*'4、平时成绩'!$G56*0.01)/SUM('1、课程目标与考核方式'!$C$3:$G$3)</f>
        <v>0</v>
      </c>
      <c r="Y56">
        <f ca="1">('1、课程目标与考核方式'!$C$8*'4、平时成绩'!$C56*0.01+'1、课程目标与考核方式'!$D$8*'4、平时成绩'!$D56*0.01+'1、课程目标与考核方式'!$E$8*'4、平时成绩'!$E56*0.01+'1、课程目标与考核方式'!$F$8*'4、平时成绩'!$F56*0.01+'1、课程目标与考核方式'!$G$8*'4、平时成绩'!$G56*0.01)/SUM('1、课程目标与考核方式'!$C$3:$G$3)</f>
        <v>0</v>
      </c>
      <c r="Z56">
        <f ca="1">('1、课程目标与考核方式'!$C$9*'4、平时成绩'!$C56*0.01+'1、课程目标与考核方式'!$D$9*'4、平时成绩'!$D56*0.01+'1、课程目标与考核方式'!$E$9*'4、平时成绩'!$E56*0.01+'1、课程目标与考核方式'!$F$9*'4、平时成绩'!$F56*0.01+'1、课程目标与考核方式'!$G$9*'4、平时成绩'!$G56*0.01)/SUM('1、课程目标与考核方式'!$C$3:$G$3)</f>
        <v>0</v>
      </c>
      <c r="AA56">
        <f ca="1">('1、课程目标与考核方式'!$C$10*'4、平时成绩'!$C56*0.01+'1、课程目标与考核方式'!$D$10*'4、平时成绩'!$D56*0.01+'1、课程目标与考核方式'!$E$10*'4、平时成绩'!$E56*0.01+'1、课程目标与考核方式'!$F$10*'4、平时成绩'!$F56*0.01+'1、课程目标与考核方式'!$G$10*'4、平时成绩'!$G56*0.01)/SUM('1、课程目标与考核方式'!$C$3:$G$3)</f>
        <v>0</v>
      </c>
      <c r="AB56">
        <f>'3、期末成绩'!C56/'2、试卷（期末题目-课程目标）'!$C$2</f>
        <v>0.95</v>
      </c>
      <c r="AC56">
        <f>'3、期末成绩'!D56/'2、试卷（期末题目-课程目标）'!$C$3</f>
        <v>0.95</v>
      </c>
    </row>
    <row r="57" spans="10:29">
      <c r="J57" s="243" t="str">
        <f>IF(ISBLANK('3、期末成绩'!A57)," ",'3、期末成绩'!A57)</f>
        <v>1653221</v>
      </c>
      <c r="K57" s="244" t="str">
        <f>IF(J57=" "," ",VLOOKUP(J57,'3、期末成绩'!$A$2:$B$201,2,FALSE))</f>
        <v>汤圣铭</v>
      </c>
      <c r="L57">
        <f ca="1">0.01*(T57*SUM('1、课程目标与考核方式'!$C$13:$G$13)+AB57*'1、课程目标与考核方式'!$H$13)</f>
        <v>0.7057</v>
      </c>
      <c r="M57">
        <f ca="1">0.01*(U57*SUM('1、课程目标与考核方式'!$C$13:$G$13)+AC57*'1、课程目标与考核方式'!$H$13)</f>
        <v>0.7057</v>
      </c>
      <c r="N57">
        <f ca="1">0.01*(V57*SUM('1、课程目标与考核方式'!$C$13:$G$13)+AD57*'1、课程目标与考核方式'!$H$13)</f>
        <v>0.2307</v>
      </c>
      <c r="O57">
        <f ca="1">0.01*(W57*SUM('1、课程目标与考核方式'!$C$13:$G$13)+AE57*'1、课程目标与考核方式'!$H$13)</f>
        <v>0</v>
      </c>
      <c r="P57">
        <f ca="1">0.01*(X57*SUM('1、课程目标与考核方式'!$C$13:$G$13)+AF57*'1、课程目标与考核方式'!$H$13)</f>
        <v>0</v>
      </c>
      <c r="Q57">
        <f ca="1">0.01*(Y57*SUM('1、课程目标与考核方式'!$C$13:$G$13)+AG57*'1、课程目标与考核方式'!$H$13)</f>
        <v>0</v>
      </c>
      <c r="R57">
        <f ca="1">0.01*(Z57*SUM('1、课程目标与考核方式'!$C$13:$G$13)+AH57*'1、课程目标与考核方式'!$H$13)</f>
        <v>0</v>
      </c>
      <c r="S57">
        <f ca="1">0.01*(AA57*SUM('1、课程目标与考核方式'!$C$13:$G$13)+AI57*'1、课程目标与考核方式'!$H$13)</f>
        <v>0</v>
      </c>
      <c r="T57">
        <f ca="1">('1、课程目标与考核方式'!$C$3*'4、平时成绩'!$C57*0.01+'1、课程目标与考核方式'!$D$3*'4、平时成绩'!$D57*0.01+'1、课程目标与考核方式'!$E$3*'4、平时成绩'!$E57*0.01+'1、课程目标与考核方式'!$F$3*'4、平时成绩'!$F57*0.01+'1、课程目标与考核方式'!$G$3*'4、平时成绩'!$G57*0.01)/SUM('1、课程目标与考核方式'!$C$3:$G$3)</f>
        <v>0.854444444444444</v>
      </c>
      <c r="U57">
        <f ca="1">('1、课程目标与考核方式'!$C$4*'4、平时成绩'!$C57*0.01+'1、课程目标与考核方式'!$D$4*'4、平时成绩'!$D57*0.01+'1、课程目标与考核方式'!$E$4*'4、平时成绩'!$E57*0.01+'1、课程目标与考核方式'!$F$4*'4、平时成绩'!$F57*0.01+'1、课程目标与考核方式'!$G$4*'4、平时成绩'!$G57*0.01)/SUM('1、课程目标与考核方式'!$C$3:$G$3)</f>
        <v>0.854444444444444</v>
      </c>
      <c r="V57">
        <f ca="1">('1、课程目标与考核方式'!$C$5*'4、平时成绩'!$C57*0.01+'1、课程目标与考核方式'!$D$5*'4、平时成绩'!$D57*0.01+'1、课程目标与考核方式'!$E$5*'4、平时成绩'!$E57*0.01+'1、课程目标与考核方式'!$F$5*'4、平时成绩'!$F57*0.01+'1、课程目标与考核方式'!$G$5*'4、平时成绩'!$G57*0.01)/SUM('1、课程目标与考核方式'!$C$3:$G$3)</f>
        <v>0.854444444444444</v>
      </c>
      <c r="W57">
        <f ca="1">('1、课程目标与考核方式'!$C$6*'4、平时成绩'!$C57*0.01+'1、课程目标与考核方式'!$D$6*'4、平时成绩'!$D57*0.01+'1、课程目标与考核方式'!$E$6*'4、平时成绩'!$E57*0.01+'1、课程目标与考核方式'!$F$6*'4、平时成绩'!$F57*0.01+'1、课程目标与考核方式'!$G$6*'4、平时成绩'!$G57*0.01)/SUM('1、课程目标与考核方式'!$C$3:$G$3)</f>
        <v>0</v>
      </c>
      <c r="X57">
        <f ca="1">('1、课程目标与考核方式'!$C$7*'4、平时成绩'!$C57*0.01+'1、课程目标与考核方式'!$D$7*'4、平时成绩'!$D57*0.01+'1、课程目标与考核方式'!$E$7*'4、平时成绩'!$E57*0.01+'1、课程目标与考核方式'!$F$7*'4、平时成绩'!$F57*0.01+'1、课程目标与考核方式'!$G$7*'4、平时成绩'!$G57*0.01)/SUM('1、课程目标与考核方式'!$C$3:$G$3)</f>
        <v>0</v>
      </c>
      <c r="Y57">
        <f ca="1">('1、课程目标与考核方式'!$C$8*'4、平时成绩'!$C57*0.01+'1、课程目标与考核方式'!$D$8*'4、平时成绩'!$D57*0.01+'1、课程目标与考核方式'!$E$8*'4、平时成绩'!$E57*0.01+'1、课程目标与考核方式'!$F$8*'4、平时成绩'!$F57*0.01+'1、课程目标与考核方式'!$G$8*'4、平时成绩'!$G57*0.01)/SUM('1、课程目标与考核方式'!$C$3:$G$3)</f>
        <v>0</v>
      </c>
      <c r="Z57">
        <f ca="1">('1、课程目标与考核方式'!$C$9*'4、平时成绩'!$C57*0.01+'1、课程目标与考核方式'!$D$9*'4、平时成绩'!$D57*0.01+'1、课程目标与考核方式'!$E$9*'4、平时成绩'!$E57*0.01+'1、课程目标与考核方式'!$F$9*'4、平时成绩'!$F57*0.01+'1、课程目标与考核方式'!$G$9*'4、平时成绩'!$G57*0.01)/SUM('1、课程目标与考核方式'!$C$3:$G$3)</f>
        <v>0</v>
      </c>
      <c r="AA57">
        <f ca="1">('1、课程目标与考核方式'!$C$10*'4、平时成绩'!$C57*0.01+'1、课程目标与考核方式'!$D$10*'4、平时成绩'!$D57*0.01+'1、课程目标与考核方式'!$E$10*'4、平时成绩'!$E57*0.01+'1、课程目标与考核方式'!$F$10*'4、平时成绩'!$F57*0.01+'1、课程目标与考核方式'!$G$10*'4、平时成绩'!$G57*0.01)/SUM('1、课程目标与考核方式'!$C$3:$G$3)</f>
        <v>0</v>
      </c>
      <c r="AB57">
        <f>'3、期末成绩'!C57/'2、试卷（期末题目-课程目标）'!$C$2</f>
        <v>0.95</v>
      </c>
      <c r="AC57">
        <f>'3、期末成绩'!D57/'2、试卷（期末题目-课程目标）'!$C$3</f>
        <v>0.95</v>
      </c>
    </row>
    <row r="58" spans="10:29">
      <c r="J58" s="243" t="str">
        <f>IF(ISBLANK('3、期末成绩'!A58)," ",'3、期末成绩'!A58)</f>
        <v>1653222</v>
      </c>
      <c r="K58" s="244" t="str">
        <f>IF(J58=" "," ",VLOOKUP(J58,'3、期末成绩'!$A$2:$B$201,2,FALSE))</f>
        <v>邢鹏</v>
      </c>
      <c r="L58">
        <f ca="1">0.01*(T58*SUM('1、课程目标与考核方式'!$C$13:$G$13)+AB58*'1、课程目标与考核方式'!$H$13)</f>
        <v>0.6658</v>
      </c>
      <c r="M58">
        <f ca="1">0.01*(U58*SUM('1、课程目标与考核方式'!$C$13:$G$13)+AC58*'1、课程目标与考核方式'!$H$13)</f>
        <v>0.6658</v>
      </c>
      <c r="N58">
        <f ca="1">0.01*(V58*SUM('1、课程目标与考核方式'!$C$13:$G$13)+AD58*'1、课程目标与考核方式'!$H$13)</f>
        <v>0.1908</v>
      </c>
      <c r="O58">
        <f ca="1">0.01*(W58*SUM('1、课程目标与考核方式'!$C$13:$G$13)+AE58*'1、课程目标与考核方式'!$H$13)</f>
        <v>0</v>
      </c>
      <c r="P58">
        <f ca="1">0.01*(X58*SUM('1、课程目标与考核方式'!$C$13:$G$13)+AF58*'1、课程目标与考核方式'!$H$13)</f>
        <v>0</v>
      </c>
      <c r="Q58">
        <f ca="1">0.01*(Y58*SUM('1、课程目标与考核方式'!$C$13:$G$13)+AG58*'1、课程目标与考核方式'!$H$13)</f>
        <v>0</v>
      </c>
      <c r="R58">
        <f ca="1">0.01*(Z58*SUM('1、课程目标与考核方式'!$C$13:$G$13)+AH58*'1、课程目标与考核方式'!$H$13)</f>
        <v>0</v>
      </c>
      <c r="S58">
        <f ca="1">0.01*(AA58*SUM('1、课程目标与考核方式'!$C$13:$G$13)+AI58*'1、课程目标与考核方式'!$H$13)</f>
        <v>0</v>
      </c>
      <c r="T58">
        <f ca="1">('1、课程目标与考核方式'!$C$3*'4、平时成绩'!$C58*0.01+'1、课程目标与考核方式'!$D$3*'4、平时成绩'!$D58*0.01+'1、课程目标与考核方式'!$E$3*'4、平时成绩'!$E58*0.01+'1、课程目标与考核方式'!$F$3*'4、平时成绩'!$F58*0.01+'1、课程目标与考核方式'!$G$3*'4、平时成绩'!$G58*0.01)/SUM('1、课程目标与考核方式'!$C$3:$G$3)</f>
        <v>0.706666666666667</v>
      </c>
      <c r="U58">
        <f ca="1">('1、课程目标与考核方式'!$C$4*'4、平时成绩'!$C58*0.01+'1、课程目标与考核方式'!$D$4*'4、平时成绩'!$D58*0.01+'1、课程目标与考核方式'!$E$4*'4、平时成绩'!$E58*0.01+'1、课程目标与考核方式'!$F$4*'4、平时成绩'!$F58*0.01+'1、课程目标与考核方式'!$G$4*'4、平时成绩'!$G58*0.01)/SUM('1、课程目标与考核方式'!$C$3:$G$3)</f>
        <v>0.706666666666667</v>
      </c>
      <c r="V58">
        <f ca="1">('1、课程目标与考核方式'!$C$5*'4、平时成绩'!$C58*0.01+'1、课程目标与考核方式'!$D$5*'4、平时成绩'!$D58*0.01+'1、课程目标与考核方式'!$E$5*'4、平时成绩'!$E58*0.01+'1、课程目标与考核方式'!$F$5*'4、平时成绩'!$F58*0.01+'1、课程目标与考核方式'!$G$5*'4、平时成绩'!$G58*0.01)/SUM('1、课程目标与考核方式'!$C$3:$G$3)</f>
        <v>0.706666666666667</v>
      </c>
      <c r="W58">
        <f ca="1">('1、课程目标与考核方式'!$C$6*'4、平时成绩'!$C58*0.01+'1、课程目标与考核方式'!$D$6*'4、平时成绩'!$D58*0.01+'1、课程目标与考核方式'!$E$6*'4、平时成绩'!$E58*0.01+'1、课程目标与考核方式'!$F$6*'4、平时成绩'!$F58*0.01+'1、课程目标与考核方式'!$G$6*'4、平时成绩'!$G58*0.01)/SUM('1、课程目标与考核方式'!$C$3:$G$3)</f>
        <v>0</v>
      </c>
      <c r="X58">
        <f ca="1">('1、课程目标与考核方式'!$C$7*'4、平时成绩'!$C58*0.01+'1、课程目标与考核方式'!$D$7*'4、平时成绩'!$D58*0.01+'1、课程目标与考核方式'!$E$7*'4、平时成绩'!$E58*0.01+'1、课程目标与考核方式'!$F$7*'4、平时成绩'!$F58*0.01+'1、课程目标与考核方式'!$G$7*'4、平时成绩'!$G58*0.01)/SUM('1、课程目标与考核方式'!$C$3:$G$3)</f>
        <v>0</v>
      </c>
      <c r="Y58">
        <f ca="1">('1、课程目标与考核方式'!$C$8*'4、平时成绩'!$C58*0.01+'1、课程目标与考核方式'!$D$8*'4、平时成绩'!$D58*0.01+'1、课程目标与考核方式'!$E$8*'4、平时成绩'!$E58*0.01+'1、课程目标与考核方式'!$F$8*'4、平时成绩'!$F58*0.01+'1、课程目标与考核方式'!$G$8*'4、平时成绩'!$G58*0.01)/SUM('1、课程目标与考核方式'!$C$3:$G$3)</f>
        <v>0</v>
      </c>
      <c r="Z58">
        <f ca="1">('1、课程目标与考核方式'!$C$9*'4、平时成绩'!$C58*0.01+'1、课程目标与考核方式'!$D$9*'4、平时成绩'!$D58*0.01+'1、课程目标与考核方式'!$E$9*'4、平时成绩'!$E58*0.01+'1、课程目标与考核方式'!$F$9*'4、平时成绩'!$F58*0.01+'1、课程目标与考核方式'!$G$9*'4、平时成绩'!$G58*0.01)/SUM('1、课程目标与考核方式'!$C$3:$G$3)</f>
        <v>0</v>
      </c>
      <c r="AA58">
        <f ca="1">('1、课程目标与考核方式'!$C$10*'4、平时成绩'!$C58*0.01+'1、课程目标与考核方式'!$D$10*'4、平时成绩'!$D58*0.01+'1、课程目标与考核方式'!$E$10*'4、平时成绩'!$E58*0.01+'1、课程目标与考核方式'!$F$10*'4、平时成绩'!$F58*0.01+'1、课程目标与考核方式'!$G$10*'4、平时成绩'!$G58*0.01)/SUM('1、课程目标与考核方式'!$C$3:$G$3)</f>
        <v>0</v>
      </c>
      <c r="AB58">
        <f>'3、期末成绩'!C58/'2、试卷（期末题目-课程目标）'!$C$2</f>
        <v>0.95</v>
      </c>
      <c r="AC58">
        <f>'3、期末成绩'!D58/'2、试卷（期末题目-课程目标）'!$C$3</f>
        <v>0.95</v>
      </c>
    </row>
    <row r="59" spans="10:29">
      <c r="J59" s="243" t="str">
        <f>IF(ISBLANK('3、期末成绩'!A59)," ",'3、期末成绩'!A59)</f>
        <v>1653223</v>
      </c>
      <c r="K59" s="244" t="str">
        <f>IF(J59=" "," ",VLOOKUP(J59,'3、期末成绩'!$A$2:$B$201,2,FALSE))</f>
        <v>徐俊章</v>
      </c>
      <c r="L59">
        <f ca="1">0.01*(T59*SUM('1、课程目标与考核方式'!$C$13:$G$13)+AB59*'1、课程目标与考核方式'!$H$13)</f>
        <v>0.6829</v>
      </c>
      <c r="M59">
        <f ca="1">0.01*(U59*SUM('1、课程目标与考核方式'!$C$13:$G$13)+AC59*'1、课程目标与考核方式'!$H$13)</f>
        <v>0.6829</v>
      </c>
      <c r="N59">
        <f ca="1">0.01*(V59*SUM('1、课程目标与考核方式'!$C$13:$G$13)+AD59*'1、课程目标与考核方式'!$H$13)</f>
        <v>0.2079</v>
      </c>
      <c r="O59">
        <f ca="1">0.01*(W59*SUM('1、课程目标与考核方式'!$C$13:$G$13)+AE59*'1、课程目标与考核方式'!$H$13)</f>
        <v>0</v>
      </c>
      <c r="P59">
        <f ca="1">0.01*(X59*SUM('1、课程目标与考核方式'!$C$13:$G$13)+AF59*'1、课程目标与考核方式'!$H$13)</f>
        <v>0</v>
      </c>
      <c r="Q59">
        <f ca="1">0.01*(Y59*SUM('1、课程目标与考核方式'!$C$13:$G$13)+AG59*'1、课程目标与考核方式'!$H$13)</f>
        <v>0</v>
      </c>
      <c r="R59">
        <f ca="1">0.01*(Z59*SUM('1、课程目标与考核方式'!$C$13:$G$13)+AH59*'1、课程目标与考核方式'!$H$13)</f>
        <v>0</v>
      </c>
      <c r="S59">
        <f ca="1">0.01*(AA59*SUM('1、课程目标与考核方式'!$C$13:$G$13)+AI59*'1、课程目标与考核方式'!$H$13)</f>
        <v>0</v>
      </c>
      <c r="T59">
        <f ca="1">('1、课程目标与考核方式'!$C$3*'4、平时成绩'!$C59*0.01+'1、课程目标与考核方式'!$D$3*'4、平时成绩'!$D59*0.01+'1、课程目标与考核方式'!$E$3*'4、平时成绩'!$E59*0.01+'1、课程目标与考核方式'!$F$3*'4、平时成绩'!$F59*0.01+'1、课程目标与考核方式'!$G$3*'4、平时成绩'!$G59*0.01)/SUM('1、课程目标与考核方式'!$C$3:$G$3)</f>
        <v>0.77</v>
      </c>
      <c r="U59">
        <f ca="1">('1、课程目标与考核方式'!$C$4*'4、平时成绩'!$C59*0.01+'1、课程目标与考核方式'!$D$4*'4、平时成绩'!$D59*0.01+'1、课程目标与考核方式'!$E$4*'4、平时成绩'!$E59*0.01+'1、课程目标与考核方式'!$F$4*'4、平时成绩'!$F59*0.01+'1、课程目标与考核方式'!$G$4*'4、平时成绩'!$G59*0.01)/SUM('1、课程目标与考核方式'!$C$3:$G$3)</f>
        <v>0.77</v>
      </c>
      <c r="V59">
        <f ca="1">('1、课程目标与考核方式'!$C$5*'4、平时成绩'!$C59*0.01+'1、课程目标与考核方式'!$D$5*'4、平时成绩'!$D59*0.01+'1、课程目标与考核方式'!$E$5*'4、平时成绩'!$E59*0.01+'1、课程目标与考核方式'!$F$5*'4、平时成绩'!$F59*0.01+'1、课程目标与考核方式'!$G$5*'4、平时成绩'!$G59*0.01)/SUM('1、课程目标与考核方式'!$C$3:$G$3)</f>
        <v>0.77</v>
      </c>
      <c r="W59">
        <f ca="1">('1、课程目标与考核方式'!$C$6*'4、平时成绩'!$C59*0.01+'1、课程目标与考核方式'!$D$6*'4、平时成绩'!$D59*0.01+'1、课程目标与考核方式'!$E$6*'4、平时成绩'!$E59*0.01+'1、课程目标与考核方式'!$F$6*'4、平时成绩'!$F59*0.01+'1、课程目标与考核方式'!$G$6*'4、平时成绩'!$G59*0.01)/SUM('1、课程目标与考核方式'!$C$3:$G$3)</f>
        <v>0</v>
      </c>
      <c r="X59">
        <f ca="1">('1、课程目标与考核方式'!$C$7*'4、平时成绩'!$C59*0.01+'1、课程目标与考核方式'!$D$7*'4、平时成绩'!$D59*0.01+'1、课程目标与考核方式'!$E$7*'4、平时成绩'!$E59*0.01+'1、课程目标与考核方式'!$F$7*'4、平时成绩'!$F59*0.01+'1、课程目标与考核方式'!$G$7*'4、平时成绩'!$G59*0.01)/SUM('1、课程目标与考核方式'!$C$3:$G$3)</f>
        <v>0</v>
      </c>
      <c r="Y59">
        <f ca="1">('1、课程目标与考核方式'!$C$8*'4、平时成绩'!$C59*0.01+'1、课程目标与考核方式'!$D$8*'4、平时成绩'!$D59*0.01+'1、课程目标与考核方式'!$E$8*'4、平时成绩'!$E59*0.01+'1、课程目标与考核方式'!$F$8*'4、平时成绩'!$F59*0.01+'1、课程目标与考核方式'!$G$8*'4、平时成绩'!$G59*0.01)/SUM('1、课程目标与考核方式'!$C$3:$G$3)</f>
        <v>0</v>
      </c>
      <c r="Z59">
        <f ca="1">('1、课程目标与考核方式'!$C$9*'4、平时成绩'!$C59*0.01+'1、课程目标与考核方式'!$D$9*'4、平时成绩'!$D59*0.01+'1、课程目标与考核方式'!$E$9*'4、平时成绩'!$E59*0.01+'1、课程目标与考核方式'!$F$9*'4、平时成绩'!$F59*0.01+'1、课程目标与考核方式'!$G$9*'4、平时成绩'!$G59*0.01)/SUM('1、课程目标与考核方式'!$C$3:$G$3)</f>
        <v>0</v>
      </c>
      <c r="AA59">
        <f ca="1">('1、课程目标与考核方式'!$C$10*'4、平时成绩'!$C59*0.01+'1、课程目标与考核方式'!$D$10*'4、平时成绩'!$D59*0.01+'1、课程目标与考核方式'!$E$10*'4、平时成绩'!$E59*0.01+'1、课程目标与考核方式'!$F$10*'4、平时成绩'!$F59*0.01+'1、课程目标与考核方式'!$G$10*'4、平时成绩'!$G59*0.01)/SUM('1、课程目标与考核方式'!$C$3:$G$3)</f>
        <v>0</v>
      </c>
      <c r="AB59">
        <f>'3、期末成绩'!C59/'2、试卷（期末题目-课程目标）'!$C$2</f>
        <v>0.95</v>
      </c>
      <c r="AC59">
        <f>'3、期末成绩'!D59/'2、试卷（期末题目-课程目标）'!$C$3</f>
        <v>0.95</v>
      </c>
    </row>
    <row r="60" spans="10:29">
      <c r="J60" s="243" t="str">
        <f>IF(ISBLANK('3、期末成绩'!A60)," ",'3、期末成绩'!A60)</f>
        <v>1653224</v>
      </c>
      <c r="K60" s="244" t="str">
        <f>IF(J60=" "," ",VLOOKUP(J60,'3、期末成绩'!$A$2:$B$201,2,FALSE))</f>
        <v>林杰</v>
      </c>
      <c r="L60">
        <f ca="1">0.01*(T60*SUM('1、课程目标与考核方式'!$C$13:$G$13)+AB60*'1、课程目标与考核方式'!$H$13)</f>
        <v>0.7045</v>
      </c>
      <c r="M60">
        <f ca="1">0.01*(U60*SUM('1、课程目标与考核方式'!$C$13:$G$13)+AC60*'1、课程目标与考核方式'!$H$13)</f>
        <v>0.7045</v>
      </c>
      <c r="N60">
        <f ca="1">0.01*(V60*SUM('1、课程目标与考核方式'!$C$13:$G$13)+AD60*'1、课程目标与考核方式'!$H$13)</f>
        <v>0.2295</v>
      </c>
      <c r="O60">
        <f ca="1">0.01*(W60*SUM('1、课程目标与考核方式'!$C$13:$G$13)+AE60*'1、课程目标与考核方式'!$H$13)</f>
        <v>0</v>
      </c>
      <c r="P60">
        <f ca="1">0.01*(X60*SUM('1、课程目标与考核方式'!$C$13:$G$13)+AF60*'1、课程目标与考核方式'!$H$13)</f>
        <v>0</v>
      </c>
      <c r="Q60">
        <f ca="1">0.01*(Y60*SUM('1、课程目标与考核方式'!$C$13:$G$13)+AG60*'1、课程目标与考核方式'!$H$13)</f>
        <v>0</v>
      </c>
      <c r="R60">
        <f ca="1">0.01*(Z60*SUM('1、课程目标与考核方式'!$C$13:$G$13)+AH60*'1、课程目标与考核方式'!$H$13)</f>
        <v>0</v>
      </c>
      <c r="S60">
        <f ca="1">0.01*(AA60*SUM('1、课程目标与考核方式'!$C$13:$G$13)+AI60*'1、课程目标与考核方式'!$H$13)</f>
        <v>0</v>
      </c>
      <c r="T60">
        <f ca="1">('1、课程目标与考核方式'!$C$3*'4、平时成绩'!$C60*0.01+'1、课程目标与考核方式'!$D$3*'4、平时成绩'!$D60*0.01+'1、课程目标与考核方式'!$E$3*'4、平时成绩'!$E60*0.01+'1、课程目标与考核方式'!$F$3*'4、平时成绩'!$F60*0.01+'1、课程目标与考核方式'!$G$3*'4、平时成绩'!$G60*0.01)/SUM('1、课程目标与考核方式'!$C$3:$G$3)</f>
        <v>0.85</v>
      </c>
      <c r="U60">
        <f ca="1">('1、课程目标与考核方式'!$C$4*'4、平时成绩'!$C60*0.01+'1、课程目标与考核方式'!$D$4*'4、平时成绩'!$D60*0.01+'1、课程目标与考核方式'!$E$4*'4、平时成绩'!$E60*0.01+'1、课程目标与考核方式'!$F$4*'4、平时成绩'!$F60*0.01+'1、课程目标与考核方式'!$G$4*'4、平时成绩'!$G60*0.01)/SUM('1、课程目标与考核方式'!$C$3:$G$3)</f>
        <v>0.85</v>
      </c>
      <c r="V60">
        <f ca="1">('1、课程目标与考核方式'!$C$5*'4、平时成绩'!$C60*0.01+'1、课程目标与考核方式'!$D$5*'4、平时成绩'!$D60*0.01+'1、课程目标与考核方式'!$E$5*'4、平时成绩'!$E60*0.01+'1、课程目标与考核方式'!$F$5*'4、平时成绩'!$F60*0.01+'1、课程目标与考核方式'!$G$5*'4、平时成绩'!$G60*0.01)/SUM('1、课程目标与考核方式'!$C$3:$G$3)</f>
        <v>0.85</v>
      </c>
      <c r="W60">
        <f ca="1">('1、课程目标与考核方式'!$C$6*'4、平时成绩'!$C60*0.01+'1、课程目标与考核方式'!$D$6*'4、平时成绩'!$D60*0.01+'1、课程目标与考核方式'!$E$6*'4、平时成绩'!$E60*0.01+'1、课程目标与考核方式'!$F$6*'4、平时成绩'!$F60*0.01+'1、课程目标与考核方式'!$G$6*'4、平时成绩'!$G60*0.01)/SUM('1、课程目标与考核方式'!$C$3:$G$3)</f>
        <v>0</v>
      </c>
      <c r="X60">
        <f ca="1">('1、课程目标与考核方式'!$C$7*'4、平时成绩'!$C60*0.01+'1、课程目标与考核方式'!$D$7*'4、平时成绩'!$D60*0.01+'1、课程目标与考核方式'!$E$7*'4、平时成绩'!$E60*0.01+'1、课程目标与考核方式'!$F$7*'4、平时成绩'!$F60*0.01+'1、课程目标与考核方式'!$G$7*'4、平时成绩'!$G60*0.01)/SUM('1、课程目标与考核方式'!$C$3:$G$3)</f>
        <v>0</v>
      </c>
      <c r="Y60">
        <f ca="1">('1、课程目标与考核方式'!$C$8*'4、平时成绩'!$C60*0.01+'1、课程目标与考核方式'!$D$8*'4、平时成绩'!$D60*0.01+'1、课程目标与考核方式'!$E$8*'4、平时成绩'!$E60*0.01+'1、课程目标与考核方式'!$F$8*'4、平时成绩'!$F60*0.01+'1、课程目标与考核方式'!$G$8*'4、平时成绩'!$G60*0.01)/SUM('1、课程目标与考核方式'!$C$3:$G$3)</f>
        <v>0</v>
      </c>
      <c r="Z60">
        <f ca="1">('1、课程目标与考核方式'!$C$9*'4、平时成绩'!$C60*0.01+'1、课程目标与考核方式'!$D$9*'4、平时成绩'!$D60*0.01+'1、课程目标与考核方式'!$E$9*'4、平时成绩'!$E60*0.01+'1、课程目标与考核方式'!$F$9*'4、平时成绩'!$F60*0.01+'1、课程目标与考核方式'!$G$9*'4、平时成绩'!$G60*0.01)/SUM('1、课程目标与考核方式'!$C$3:$G$3)</f>
        <v>0</v>
      </c>
      <c r="AA60">
        <f ca="1">('1、课程目标与考核方式'!$C$10*'4、平时成绩'!$C60*0.01+'1、课程目标与考核方式'!$D$10*'4、平时成绩'!$D60*0.01+'1、课程目标与考核方式'!$E$10*'4、平时成绩'!$E60*0.01+'1、课程目标与考核方式'!$F$10*'4、平时成绩'!$F60*0.01+'1、课程目标与考核方式'!$G$10*'4、平时成绩'!$G60*0.01)/SUM('1、课程目标与考核方式'!$C$3:$G$3)</f>
        <v>0</v>
      </c>
      <c r="AB60">
        <f>'3、期末成绩'!C60/'2、试卷（期末题目-课程目标）'!$C$2</f>
        <v>0.95</v>
      </c>
      <c r="AC60">
        <f>'3、期末成绩'!D60/'2、试卷（期末题目-课程目标）'!$C$3</f>
        <v>0.95</v>
      </c>
    </row>
    <row r="61" spans="10:29">
      <c r="J61" s="243" t="str">
        <f>IF(ISBLANK('3、期末成绩'!A61)," ",'3、期末成绩'!A61)</f>
        <v>1653225</v>
      </c>
      <c r="K61" s="244" t="str">
        <f>IF(J61=" "," ",VLOOKUP(J61,'3、期末成绩'!$A$2:$B$201,2,FALSE))</f>
        <v>蔡腾锋</v>
      </c>
      <c r="L61">
        <f ca="1">0.01*(T61*SUM('1、课程目标与考核方式'!$C$13:$G$13)+AB61*'1、课程目标与考核方式'!$H$13)</f>
        <v>0.7267</v>
      </c>
      <c r="M61">
        <f ca="1">0.01*(U61*SUM('1、课程目标与考核方式'!$C$13:$G$13)+AC61*'1、课程目标与考核方式'!$H$13)</f>
        <v>0.7267</v>
      </c>
      <c r="N61">
        <f ca="1">0.01*(V61*SUM('1、课程目标与考核方式'!$C$13:$G$13)+AD61*'1、课程目标与考核方式'!$H$13)</f>
        <v>0.2517</v>
      </c>
      <c r="O61">
        <f ca="1">0.01*(W61*SUM('1、课程目标与考核方式'!$C$13:$G$13)+AE61*'1、课程目标与考核方式'!$H$13)</f>
        <v>0</v>
      </c>
      <c r="P61">
        <f ca="1">0.01*(X61*SUM('1、课程目标与考核方式'!$C$13:$G$13)+AF61*'1、课程目标与考核方式'!$H$13)</f>
        <v>0</v>
      </c>
      <c r="Q61">
        <f ca="1">0.01*(Y61*SUM('1、课程目标与考核方式'!$C$13:$G$13)+AG61*'1、课程目标与考核方式'!$H$13)</f>
        <v>0</v>
      </c>
      <c r="R61">
        <f ca="1">0.01*(Z61*SUM('1、课程目标与考核方式'!$C$13:$G$13)+AH61*'1、课程目标与考核方式'!$H$13)</f>
        <v>0</v>
      </c>
      <c r="S61">
        <f ca="1">0.01*(AA61*SUM('1、课程目标与考核方式'!$C$13:$G$13)+AI61*'1、课程目标与考核方式'!$H$13)</f>
        <v>0</v>
      </c>
      <c r="T61">
        <f ca="1">('1、课程目标与考核方式'!$C$3*'4、平时成绩'!$C61*0.01+'1、课程目标与考核方式'!$D$3*'4、平时成绩'!$D61*0.01+'1、课程目标与考核方式'!$E$3*'4、平时成绩'!$E61*0.01+'1、课程目标与考核方式'!$F$3*'4、平时成绩'!$F61*0.01+'1、课程目标与考核方式'!$G$3*'4、平时成绩'!$G61*0.01)/SUM('1、课程目标与考核方式'!$C$3:$G$3)</f>
        <v>0.932222222222222</v>
      </c>
      <c r="U61">
        <f ca="1">('1、课程目标与考核方式'!$C$4*'4、平时成绩'!$C61*0.01+'1、课程目标与考核方式'!$D$4*'4、平时成绩'!$D61*0.01+'1、课程目标与考核方式'!$E$4*'4、平时成绩'!$E61*0.01+'1、课程目标与考核方式'!$F$4*'4、平时成绩'!$F61*0.01+'1、课程目标与考核方式'!$G$4*'4、平时成绩'!$G61*0.01)/SUM('1、课程目标与考核方式'!$C$3:$G$3)</f>
        <v>0.932222222222222</v>
      </c>
      <c r="V61">
        <f ca="1">('1、课程目标与考核方式'!$C$5*'4、平时成绩'!$C61*0.01+'1、课程目标与考核方式'!$D$5*'4、平时成绩'!$D61*0.01+'1、课程目标与考核方式'!$E$5*'4、平时成绩'!$E61*0.01+'1、课程目标与考核方式'!$F$5*'4、平时成绩'!$F61*0.01+'1、课程目标与考核方式'!$G$5*'4、平时成绩'!$G61*0.01)/SUM('1、课程目标与考核方式'!$C$3:$G$3)</f>
        <v>0.932222222222222</v>
      </c>
      <c r="W61">
        <f ca="1">('1、课程目标与考核方式'!$C$6*'4、平时成绩'!$C61*0.01+'1、课程目标与考核方式'!$D$6*'4、平时成绩'!$D61*0.01+'1、课程目标与考核方式'!$E$6*'4、平时成绩'!$E61*0.01+'1、课程目标与考核方式'!$F$6*'4、平时成绩'!$F61*0.01+'1、课程目标与考核方式'!$G$6*'4、平时成绩'!$G61*0.01)/SUM('1、课程目标与考核方式'!$C$3:$G$3)</f>
        <v>0</v>
      </c>
      <c r="X61">
        <f ca="1">('1、课程目标与考核方式'!$C$7*'4、平时成绩'!$C61*0.01+'1、课程目标与考核方式'!$D$7*'4、平时成绩'!$D61*0.01+'1、课程目标与考核方式'!$E$7*'4、平时成绩'!$E61*0.01+'1、课程目标与考核方式'!$F$7*'4、平时成绩'!$F61*0.01+'1、课程目标与考核方式'!$G$7*'4、平时成绩'!$G61*0.01)/SUM('1、课程目标与考核方式'!$C$3:$G$3)</f>
        <v>0</v>
      </c>
      <c r="Y61">
        <f ca="1">('1、课程目标与考核方式'!$C$8*'4、平时成绩'!$C61*0.01+'1、课程目标与考核方式'!$D$8*'4、平时成绩'!$D61*0.01+'1、课程目标与考核方式'!$E$8*'4、平时成绩'!$E61*0.01+'1、课程目标与考核方式'!$F$8*'4、平时成绩'!$F61*0.01+'1、课程目标与考核方式'!$G$8*'4、平时成绩'!$G61*0.01)/SUM('1、课程目标与考核方式'!$C$3:$G$3)</f>
        <v>0</v>
      </c>
      <c r="Z61">
        <f ca="1">('1、课程目标与考核方式'!$C$9*'4、平时成绩'!$C61*0.01+'1、课程目标与考核方式'!$D$9*'4、平时成绩'!$D61*0.01+'1、课程目标与考核方式'!$E$9*'4、平时成绩'!$E61*0.01+'1、课程目标与考核方式'!$F$9*'4、平时成绩'!$F61*0.01+'1、课程目标与考核方式'!$G$9*'4、平时成绩'!$G61*0.01)/SUM('1、课程目标与考核方式'!$C$3:$G$3)</f>
        <v>0</v>
      </c>
      <c r="AA61">
        <f ca="1">('1、课程目标与考核方式'!$C$10*'4、平时成绩'!$C61*0.01+'1、课程目标与考核方式'!$D$10*'4、平时成绩'!$D61*0.01+'1、课程目标与考核方式'!$E$10*'4、平时成绩'!$E61*0.01+'1、课程目标与考核方式'!$F$10*'4、平时成绩'!$F61*0.01+'1、课程目标与考核方式'!$G$10*'4、平时成绩'!$G61*0.01)/SUM('1、课程目标与考核方式'!$C$3:$G$3)</f>
        <v>0</v>
      </c>
      <c r="AB61">
        <f>'3、期末成绩'!C61/'2、试卷（期末题目-课程目标）'!$C$2</f>
        <v>0.95</v>
      </c>
      <c r="AC61">
        <f>'3、期末成绩'!D61/'2、试卷（期末题目-课程目标）'!$C$3</f>
        <v>0.95</v>
      </c>
    </row>
    <row r="62" spans="10:29">
      <c r="J62" s="243" t="str">
        <f>IF(ISBLANK('3、期末成绩'!A62)," ",'3、期末成绩'!A62)</f>
        <v>1653226</v>
      </c>
      <c r="K62" s="244" t="str">
        <f>IF(J62=" "," ",VLOOKUP(J62,'3、期末成绩'!$A$2:$B$201,2,FALSE))</f>
        <v>赖铭志</v>
      </c>
      <c r="L62">
        <f ca="1">0.01*(T62*SUM('1、课程目标与考核方式'!$C$13:$G$13)+AB62*'1、课程目标与考核方式'!$H$13)</f>
        <v>0.6898</v>
      </c>
      <c r="M62">
        <f ca="1">0.01*(U62*SUM('1、课程目标与考核方式'!$C$13:$G$13)+AC62*'1、课程目标与考核方式'!$H$13)</f>
        <v>0.6898</v>
      </c>
      <c r="N62">
        <f ca="1">0.01*(V62*SUM('1、课程目标与考核方式'!$C$13:$G$13)+AD62*'1、课程目标与考核方式'!$H$13)</f>
        <v>0.2148</v>
      </c>
      <c r="O62">
        <f ca="1">0.01*(W62*SUM('1、课程目标与考核方式'!$C$13:$G$13)+AE62*'1、课程目标与考核方式'!$H$13)</f>
        <v>0</v>
      </c>
      <c r="P62">
        <f ca="1">0.01*(X62*SUM('1、课程目标与考核方式'!$C$13:$G$13)+AF62*'1、课程目标与考核方式'!$H$13)</f>
        <v>0</v>
      </c>
      <c r="Q62">
        <f ca="1">0.01*(Y62*SUM('1、课程目标与考核方式'!$C$13:$G$13)+AG62*'1、课程目标与考核方式'!$H$13)</f>
        <v>0</v>
      </c>
      <c r="R62">
        <f ca="1">0.01*(Z62*SUM('1、课程目标与考核方式'!$C$13:$G$13)+AH62*'1、课程目标与考核方式'!$H$13)</f>
        <v>0</v>
      </c>
      <c r="S62">
        <f ca="1">0.01*(AA62*SUM('1、课程目标与考核方式'!$C$13:$G$13)+AI62*'1、课程目标与考核方式'!$H$13)</f>
        <v>0</v>
      </c>
      <c r="T62">
        <f ca="1">('1、课程目标与考核方式'!$C$3*'4、平时成绩'!$C62*0.01+'1、课程目标与考核方式'!$D$3*'4、平时成绩'!$D62*0.01+'1、课程目标与考核方式'!$E$3*'4、平时成绩'!$E62*0.01+'1、课程目标与考核方式'!$F$3*'4、平时成绩'!$F62*0.01+'1、课程目标与考核方式'!$G$3*'4、平时成绩'!$G62*0.01)/SUM('1、课程目标与考核方式'!$C$3:$G$3)</f>
        <v>0.795555555555556</v>
      </c>
      <c r="U62">
        <f ca="1">('1、课程目标与考核方式'!$C$4*'4、平时成绩'!$C62*0.01+'1、课程目标与考核方式'!$D$4*'4、平时成绩'!$D62*0.01+'1、课程目标与考核方式'!$E$4*'4、平时成绩'!$E62*0.01+'1、课程目标与考核方式'!$F$4*'4、平时成绩'!$F62*0.01+'1、课程目标与考核方式'!$G$4*'4、平时成绩'!$G62*0.01)/SUM('1、课程目标与考核方式'!$C$3:$G$3)</f>
        <v>0.795555555555556</v>
      </c>
      <c r="V62">
        <f ca="1">('1、课程目标与考核方式'!$C$5*'4、平时成绩'!$C62*0.01+'1、课程目标与考核方式'!$D$5*'4、平时成绩'!$D62*0.01+'1、课程目标与考核方式'!$E$5*'4、平时成绩'!$E62*0.01+'1、课程目标与考核方式'!$F$5*'4、平时成绩'!$F62*0.01+'1、课程目标与考核方式'!$G$5*'4、平时成绩'!$G62*0.01)/SUM('1、课程目标与考核方式'!$C$3:$G$3)</f>
        <v>0.795555555555556</v>
      </c>
      <c r="W62">
        <f ca="1">('1、课程目标与考核方式'!$C$6*'4、平时成绩'!$C62*0.01+'1、课程目标与考核方式'!$D$6*'4、平时成绩'!$D62*0.01+'1、课程目标与考核方式'!$E$6*'4、平时成绩'!$E62*0.01+'1、课程目标与考核方式'!$F$6*'4、平时成绩'!$F62*0.01+'1、课程目标与考核方式'!$G$6*'4、平时成绩'!$G62*0.01)/SUM('1、课程目标与考核方式'!$C$3:$G$3)</f>
        <v>0</v>
      </c>
      <c r="X62">
        <f ca="1">('1、课程目标与考核方式'!$C$7*'4、平时成绩'!$C62*0.01+'1、课程目标与考核方式'!$D$7*'4、平时成绩'!$D62*0.01+'1、课程目标与考核方式'!$E$7*'4、平时成绩'!$E62*0.01+'1、课程目标与考核方式'!$F$7*'4、平时成绩'!$F62*0.01+'1、课程目标与考核方式'!$G$7*'4、平时成绩'!$G62*0.01)/SUM('1、课程目标与考核方式'!$C$3:$G$3)</f>
        <v>0</v>
      </c>
      <c r="Y62">
        <f ca="1">('1、课程目标与考核方式'!$C$8*'4、平时成绩'!$C62*0.01+'1、课程目标与考核方式'!$D$8*'4、平时成绩'!$D62*0.01+'1、课程目标与考核方式'!$E$8*'4、平时成绩'!$E62*0.01+'1、课程目标与考核方式'!$F$8*'4、平时成绩'!$F62*0.01+'1、课程目标与考核方式'!$G$8*'4、平时成绩'!$G62*0.01)/SUM('1、课程目标与考核方式'!$C$3:$G$3)</f>
        <v>0</v>
      </c>
      <c r="Z62">
        <f ca="1">('1、课程目标与考核方式'!$C$9*'4、平时成绩'!$C62*0.01+'1、课程目标与考核方式'!$D$9*'4、平时成绩'!$D62*0.01+'1、课程目标与考核方式'!$E$9*'4、平时成绩'!$E62*0.01+'1、课程目标与考核方式'!$F$9*'4、平时成绩'!$F62*0.01+'1、课程目标与考核方式'!$G$9*'4、平时成绩'!$G62*0.01)/SUM('1、课程目标与考核方式'!$C$3:$G$3)</f>
        <v>0</v>
      </c>
      <c r="AA62">
        <f ca="1">('1、课程目标与考核方式'!$C$10*'4、平时成绩'!$C62*0.01+'1、课程目标与考核方式'!$D$10*'4、平时成绩'!$D62*0.01+'1、课程目标与考核方式'!$E$10*'4、平时成绩'!$E62*0.01+'1、课程目标与考核方式'!$F$10*'4、平时成绩'!$F62*0.01+'1、课程目标与考核方式'!$G$10*'4、平时成绩'!$G62*0.01)/SUM('1、课程目标与考核方式'!$C$3:$G$3)</f>
        <v>0</v>
      </c>
      <c r="AB62">
        <f>'3、期末成绩'!C62/'2、试卷（期末题目-课程目标）'!$C$2</f>
        <v>0.95</v>
      </c>
      <c r="AC62">
        <f>'3、期末成绩'!D62/'2、试卷（期末题目-课程目标）'!$C$3</f>
        <v>0.95</v>
      </c>
    </row>
    <row r="63" spans="10:29">
      <c r="J63" s="243" t="str">
        <f>IF(ISBLANK('3、期末成绩'!A63)," ",'3、期末成绩'!A63)</f>
        <v>1653227</v>
      </c>
      <c r="K63" s="244" t="str">
        <f>IF(J63=" "," ",VLOOKUP(J63,'3、期末成绩'!$A$2:$B$201,2,FALSE))</f>
        <v>陈昭霖</v>
      </c>
      <c r="L63">
        <f ca="1">0.01*(T63*SUM('1、课程目标与考核方式'!$C$13:$G$13)+AB63*'1、课程目标与考核方式'!$H$13)</f>
        <v>0.7246</v>
      </c>
      <c r="M63">
        <f ca="1">0.01*(U63*SUM('1、课程目标与考核方式'!$C$13:$G$13)+AC63*'1、课程目标与考核方式'!$H$13)</f>
        <v>0.7246</v>
      </c>
      <c r="N63">
        <f ca="1">0.01*(V63*SUM('1、课程目标与考核方式'!$C$13:$G$13)+AD63*'1、课程目标与考核方式'!$H$13)</f>
        <v>0.2496</v>
      </c>
      <c r="O63">
        <f ca="1">0.01*(W63*SUM('1、课程目标与考核方式'!$C$13:$G$13)+AE63*'1、课程目标与考核方式'!$H$13)</f>
        <v>0</v>
      </c>
      <c r="P63">
        <f ca="1">0.01*(X63*SUM('1、课程目标与考核方式'!$C$13:$G$13)+AF63*'1、课程目标与考核方式'!$H$13)</f>
        <v>0</v>
      </c>
      <c r="Q63">
        <f ca="1">0.01*(Y63*SUM('1、课程目标与考核方式'!$C$13:$G$13)+AG63*'1、课程目标与考核方式'!$H$13)</f>
        <v>0</v>
      </c>
      <c r="R63">
        <f ca="1">0.01*(Z63*SUM('1、课程目标与考核方式'!$C$13:$G$13)+AH63*'1、课程目标与考核方式'!$H$13)</f>
        <v>0</v>
      </c>
      <c r="S63">
        <f ca="1">0.01*(AA63*SUM('1、课程目标与考核方式'!$C$13:$G$13)+AI63*'1、课程目标与考核方式'!$H$13)</f>
        <v>0</v>
      </c>
      <c r="T63">
        <f ca="1">('1、课程目标与考核方式'!$C$3*'4、平时成绩'!$C63*0.01+'1、课程目标与考核方式'!$D$3*'4、平时成绩'!$D63*0.01+'1、课程目标与考核方式'!$E$3*'4、平时成绩'!$E63*0.01+'1、课程目标与考核方式'!$F$3*'4、平时成绩'!$F63*0.01+'1、课程目标与考核方式'!$G$3*'4、平时成绩'!$G63*0.01)/SUM('1、课程目标与考核方式'!$C$3:$G$3)</f>
        <v>0.924444444444445</v>
      </c>
      <c r="U63">
        <f ca="1">('1、课程目标与考核方式'!$C$4*'4、平时成绩'!$C63*0.01+'1、课程目标与考核方式'!$D$4*'4、平时成绩'!$D63*0.01+'1、课程目标与考核方式'!$E$4*'4、平时成绩'!$E63*0.01+'1、课程目标与考核方式'!$F$4*'4、平时成绩'!$F63*0.01+'1、课程目标与考核方式'!$G$4*'4、平时成绩'!$G63*0.01)/SUM('1、课程目标与考核方式'!$C$3:$G$3)</f>
        <v>0.924444444444445</v>
      </c>
      <c r="V63">
        <f ca="1">('1、课程目标与考核方式'!$C$5*'4、平时成绩'!$C63*0.01+'1、课程目标与考核方式'!$D$5*'4、平时成绩'!$D63*0.01+'1、课程目标与考核方式'!$E$5*'4、平时成绩'!$E63*0.01+'1、课程目标与考核方式'!$F$5*'4、平时成绩'!$F63*0.01+'1、课程目标与考核方式'!$G$5*'4、平时成绩'!$G63*0.01)/SUM('1、课程目标与考核方式'!$C$3:$G$3)</f>
        <v>0.924444444444445</v>
      </c>
      <c r="W63">
        <f ca="1">('1、课程目标与考核方式'!$C$6*'4、平时成绩'!$C63*0.01+'1、课程目标与考核方式'!$D$6*'4、平时成绩'!$D63*0.01+'1、课程目标与考核方式'!$E$6*'4、平时成绩'!$E63*0.01+'1、课程目标与考核方式'!$F$6*'4、平时成绩'!$F63*0.01+'1、课程目标与考核方式'!$G$6*'4、平时成绩'!$G63*0.01)/SUM('1、课程目标与考核方式'!$C$3:$G$3)</f>
        <v>0</v>
      </c>
      <c r="X63">
        <f ca="1">('1、课程目标与考核方式'!$C$7*'4、平时成绩'!$C63*0.01+'1、课程目标与考核方式'!$D$7*'4、平时成绩'!$D63*0.01+'1、课程目标与考核方式'!$E$7*'4、平时成绩'!$E63*0.01+'1、课程目标与考核方式'!$F$7*'4、平时成绩'!$F63*0.01+'1、课程目标与考核方式'!$G$7*'4、平时成绩'!$G63*0.01)/SUM('1、课程目标与考核方式'!$C$3:$G$3)</f>
        <v>0</v>
      </c>
      <c r="Y63">
        <f ca="1">('1、课程目标与考核方式'!$C$8*'4、平时成绩'!$C63*0.01+'1、课程目标与考核方式'!$D$8*'4、平时成绩'!$D63*0.01+'1、课程目标与考核方式'!$E$8*'4、平时成绩'!$E63*0.01+'1、课程目标与考核方式'!$F$8*'4、平时成绩'!$F63*0.01+'1、课程目标与考核方式'!$G$8*'4、平时成绩'!$G63*0.01)/SUM('1、课程目标与考核方式'!$C$3:$G$3)</f>
        <v>0</v>
      </c>
      <c r="Z63">
        <f ca="1">('1、课程目标与考核方式'!$C$9*'4、平时成绩'!$C63*0.01+'1、课程目标与考核方式'!$D$9*'4、平时成绩'!$D63*0.01+'1、课程目标与考核方式'!$E$9*'4、平时成绩'!$E63*0.01+'1、课程目标与考核方式'!$F$9*'4、平时成绩'!$F63*0.01+'1、课程目标与考核方式'!$G$9*'4、平时成绩'!$G63*0.01)/SUM('1、课程目标与考核方式'!$C$3:$G$3)</f>
        <v>0</v>
      </c>
      <c r="AA63">
        <f ca="1">('1、课程目标与考核方式'!$C$10*'4、平时成绩'!$C63*0.01+'1、课程目标与考核方式'!$D$10*'4、平时成绩'!$D63*0.01+'1、课程目标与考核方式'!$E$10*'4、平时成绩'!$E63*0.01+'1、课程目标与考核方式'!$F$10*'4、平时成绩'!$F63*0.01+'1、课程目标与考核方式'!$G$10*'4、平时成绩'!$G63*0.01)/SUM('1、课程目标与考核方式'!$C$3:$G$3)</f>
        <v>0</v>
      </c>
      <c r="AB63">
        <f>'3、期末成绩'!C63/'2、试卷（期末题目-课程目标）'!$C$2</f>
        <v>0.95</v>
      </c>
      <c r="AC63">
        <f>'3、期末成绩'!D63/'2、试卷（期末题目-课程目标）'!$C$3</f>
        <v>0.95</v>
      </c>
    </row>
    <row r="64" spans="10:29">
      <c r="J64" s="243" t="str">
        <f>IF(ISBLANK('3、期末成绩'!A64)," ",'3、期末成绩'!A64)</f>
        <v>1653228</v>
      </c>
      <c r="K64" s="244" t="str">
        <f>IF(J64=" "," ",VLOOKUP(J64,'3、期末成绩'!$A$2:$B$201,2,FALSE))</f>
        <v>杨欣</v>
      </c>
      <c r="L64">
        <f ca="1">0.01*(T64*SUM('1、课程目标与考核方式'!$C$13:$G$13)+AB64*'1、课程目标与考核方式'!$H$13)</f>
        <v>0.6814</v>
      </c>
      <c r="M64">
        <f ca="1">0.01*(U64*SUM('1、课程目标与考核方式'!$C$13:$G$13)+AC64*'1、课程目标与考核方式'!$H$13)</f>
        <v>0.6814</v>
      </c>
      <c r="N64">
        <f ca="1">0.01*(V64*SUM('1、课程目标与考核方式'!$C$13:$G$13)+AD64*'1、课程目标与考核方式'!$H$13)</f>
        <v>0.2064</v>
      </c>
      <c r="O64">
        <f ca="1">0.01*(W64*SUM('1、课程目标与考核方式'!$C$13:$G$13)+AE64*'1、课程目标与考核方式'!$H$13)</f>
        <v>0</v>
      </c>
      <c r="P64">
        <f ca="1">0.01*(X64*SUM('1、课程目标与考核方式'!$C$13:$G$13)+AF64*'1、课程目标与考核方式'!$H$13)</f>
        <v>0</v>
      </c>
      <c r="Q64">
        <f ca="1">0.01*(Y64*SUM('1、课程目标与考核方式'!$C$13:$G$13)+AG64*'1、课程目标与考核方式'!$H$13)</f>
        <v>0</v>
      </c>
      <c r="R64">
        <f ca="1">0.01*(Z64*SUM('1、课程目标与考核方式'!$C$13:$G$13)+AH64*'1、课程目标与考核方式'!$H$13)</f>
        <v>0</v>
      </c>
      <c r="S64">
        <f ca="1">0.01*(AA64*SUM('1、课程目标与考核方式'!$C$13:$G$13)+AI64*'1、课程目标与考核方式'!$H$13)</f>
        <v>0</v>
      </c>
      <c r="T64">
        <f ca="1">('1、课程目标与考核方式'!$C$3*'4、平时成绩'!$C64*0.01+'1、课程目标与考核方式'!$D$3*'4、平时成绩'!$D64*0.01+'1、课程目标与考核方式'!$E$3*'4、平时成绩'!$E64*0.01+'1、课程目标与考核方式'!$F$3*'4、平时成绩'!$F64*0.01+'1、课程目标与考核方式'!$G$3*'4、平时成绩'!$G64*0.01)/SUM('1、课程目标与考核方式'!$C$3:$G$3)</f>
        <v>0.764444444444444</v>
      </c>
      <c r="U64">
        <f ca="1">('1、课程目标与考核方式'!$C$4*'4、平时成绩'!$C64*0.01+'1、课程目标与考核方式'!$D$4*'4、平时成绩'!$D64*0.01+'1、课程目标与考核方式'!$E$4*'4、平时成绩'!$E64*0.01+'1、课程目标与考核方式'!$F$4*'4、平时成绩'!$F64*0.01+'1、课程目标与考核方式'!$G$4*'4、平时成绩'!$G64*0.01)/SUM('1、课程目标与考核方式'!$C$3:$G$3)</f>
        <v>0.764444444444444</v>
      </c>
      <c r="V64">
        <f ca="1">('1、课程目标与考核方式'!$C$5*'4、平时成绩'!$C64*0.01+'1、课程目标与考核方式'!$D$5*'4、平时成绩'!$D64*0.01+'1、课程目标与考核方式'!$E$5*'4、平时成绩'!$E64*0.01+'1、课程目标与考核方式'!$F$5*'4、平时成绩'!$F64*0.01+'1、课程目标与考核方式'!$G$5*'4、平时成绩'!$G64*0.01)/SUM('1、课程目标与考核方式'!$C$3:$G$3)</f>
        <v>0.764444444444444</v>
      </c>
      <c r="W64">
        <f ca="1">('1、课程目标与考核方式'!$C$6*'4、平时成绩'!$C64*0.01+'1、课程目标与考核方式'!$D$6*'4、平时成绩'!$D64*0.01+'1、课程目标与考核方式'!$E$6*'4、平时成绩'!$E64*0.01+'1、课程目标与考核方式'!$F$6*'4、平时成绩'!$F64*0.01+'1、课程目标与考核方式'!$G$6*'4、平时成绩'!$G64*0.01)/SUM('1、课程目标与考核方式'!$C$3:$G$3)</f>
        <v>0</v>
      </c>
      <c r="X64">
        <f ca="1">('1、课程目标与考核方式'!$C$7*'4、平时成绩'!$C64*0.01+'1、课程目标与考核方式'!$D$7*'4、平时成绩'!$D64*0.01+'1、课程目标与考核方式'!$E$7*'4、平时成绩'!$E64*0.01+'1、课程目标与考核方式'!$F$7*'4、平时成绩'!$F64*0.01+'1、课程目标与考核方式'!$G$7*'4、平时成绩'!$G64*0.01)/SUM('1、课程目标与考核方式'!$C$3:$G$3)</f>
        <v>0</v>
      </c>
      <c r="Y64">
        <f ca="1">('1、课程目标与考核方式'!$C$8*'4、平时成绩'!$C64*0.01+'1、课程目标与考核方式'!$D$8*'4、平时成绩'!$D64*0.01+'1、课程目标与考核方式'!$E$8*'4、平时成绩'!$E64*0.01+'1、课程目标与考核方式'!$F$8*'4、平时成绩'!$F64*0.01+'1、课程目标与考核方式'!$G$8*'4、平时成绩'!$G64*0.01)/SUM('1、课程目标与考核方式'!$C$3:$G$3)</f>
        <v>0</v>
      </c>
      <c r="Z64">
        <f ca="1">('1、课程目标与考核方式'!$C$9*'4、平时成绩'!$C64*0.01+'1、课程目标与考核方式'!$D$9*'4、平时成绩'!$D64*0.01+'1、课程目标与考核方式'!$E$9*'4、平时成绩'!$E64*0.01+'1、课程目标与考核方式'!$F$9*'4、平时成绩'!$F64*0.01+'1、课程目标与考核方式'!$G$9*'4、平时成绩'!$G64*0.01)/SUM('1、课程目标与考核方式'!$C$3:$G$3)</f>
        <v>0</v>
      </c>
      <c r="AA64">
        <f ca="1">('1、课程目标与考核方式'!$C$10*'4、平时成绩'!$C64*0.01+'1、课程目标与考核方式'!$D$10*'4、平时成绩'!$D64*0.01+'1、课程目标与考核方式'!$E$10*'4、平时成绩'!$E64*0.01+'1、课程目标与考核方式'!$F$10*'4、平时成绩'!$F64*0.01+'1、课程目标与考核方式'!$G$10*'4、平时成绩'!$G64*0.01)/SUM('1、课程目标与考核方式'!$C$3:$G$3)</f>
        <v>0</v>
      </c>
      <c r="AB64">
        <f>'3、期末成绩'!C64/'2、试卷（期末题目-课程目标）'!$C$2</f>
        <v>0.95</v>
      </c>
      <c r="AC64">
        <f>'3、期末成绩'!D64/'2、试卷（期末题目-课程目标）'!$C$3</f>
        <v>0.95</v>
      </c>
    </row>
    <row r="65" spans="10:29">
      <c r="J65" s="243" t="str">
        <f>IF(ISBLANK('3、期末成绩'!A65)," ",'3、期末成绩'!A65)</f>
        <v>1653229</v>
      </c>
      <c r="K65" s="244" t="str">
        <f>IF(J65=" "," ",VLOOKUP(J65,'3、期末成绩'!$A$2:$B$201,2,FALSE))</f>
        <v>张连坡</v>
      </c>
      <c r="L65">
        <f ca="1">0.01*(T65*SUM('1、课程目标与考核方式'!$C$13:$G$13)+AB65*'1、课程目标与考核方式'!$H$13)</f>
        <v>0.6757</v>
      </c>
      <c r="M65">
        <f ca="1">0.01*(U65*SUM('1、课程目标与考核方式'!$C$13:$G$13)+AC65*'1、课程目标与考核方式'!$H$13)</f>
        <v>0.6757</v>
      </c>
      <c r="N65">
        <f ca="1">0.01*(V65*SUM('1、课程目标与考核方式'!$C$13:$G$13)+AD65*'1、课程目标与考核方式'!$H$13)</f>
        <v>0.2007</v>
      </c>
      <c r="O65">
        <f ca="1">0.01*(W65*SUM('1、课程目标与考核方式'!$C$13:$G$13)+AE65*'1、课程目标与考核方式'!$H$13)</f>
        <v>0</v>
      </c>
      <c r="P65">
        <f ca="1">0.01*(X65*SUM('1、课程目标与考核方式'!$C$13:$G$13)+AF65*'1、课程目标与考核方式'!$H$13)</f>
        <v>0</v>
      </c>
      <c r="Q65">
        <f ca="1">0.01*(Y65*SUM('1、课程目标与考核方式'!$C$13:$G$13)+AG65*'1、课程目标与考核方式'!$H$13)</f>
        <v>0</v>
      </c>
      <c r="R65">
        <f ca="1">0.01*(Z65*SUM('1、课程目标与考核方式'!$C$13:$G$13)+AH65*'1、课程目标与考核方式'!$H$13)</f>
        <v>0</v>
      </c>
      <c r="S65">
        <f ca="1">0.01*(AA65*SUM('1、课程目标与考核方式'!$C$13:$G$13)+AI65*'1、课程目标与考核方式'!$H$13)</f>
        <v>0</v>
      </c>
      <c r="T65">
        <f ca="1">('1、课程目标与考核方式'!$C$3*'4、平时成绩'!$C65*0.01+'1、课程目标与考核方式'!$D$3*'4、平时成绩'!$D65*0.01+'1、课程目标与考核方式'!$E$3*'4、平时成绩'!$E65*0.01+'1、课程目标与考核方式'!$F$3*'4、平时成绩'!$F65*0.01+'1、课程目标与考核方式'!$G$3*'4、平时成绩'!$G65*0.01)/SUM('1、课程目标与考核方式'!$C$3:$G$3)</f>
        <v>0.743333333333333</v>
      </c>
      <c r="U65">
        <f ca="1">('1、课程目标与考核方式'!$C$4*'4、平时成绩'!$C65*0.01+'1、课程目标与考核方式'!$D$4*'4、平时成绩'!$D65*0.01+'1、课程目标与考核方式'!$E$4*'4、平时成绩'!$E65*0.01+'1、课程目标与考核方式'!$F$4*'4、平时成绩'!$F65*0.01+'1、课程目标与考核方式'!$G$4*'4、平时成绩'!$G65*0.01)/SUM('1、课程目标与考核方式'!$C$3:$G$3)</f>
        <v>0.743333333333333</v>
      </c>
      <c r="V65">
        <f ca="1">('1、课程目标与考核方式'!$C$5*'4、平时成绩'!$C65*0.01+'1、课程目标与考核方式'!$D$5*'4、平时成绩'!$D65*0.01+'1、课程目标与考核方式'!$E$5*'4、平时成绩'!$E65*0.01+'1、课程目标与考核方式'!$F$5*'4、平时成绩'!$F65*0.01+'1、课程目标与考核方式'!$G$5*'4、平时成绩'!$G65*0.01)/SUM('1、课程目标与考核方式'!$C$3:$G$3)</f>
        <v>0.743333333333333</v>
      </c>
      <c r="W65">
        <f ca="1">('1、课程目标与考核方式'!$C$6*'4、平时成绩'!$C65*0.01+'1、课程目标与考核方式'!$D$6*'4、平时成绩'!$D65*0.01+'1、课程目标与考核方式'!$E$6*'4、平时成绩'!$E65*0.01+'1、课程目标与考核方式'!$F$6*'4、平时成绩'!$F65*0.01+'1、课程目标与考核方式'!$G$6*'4、平时成绩'!$G65*0.01)/SUM('1、课程目标与考核方式'!$C$3:$G$3)</f>
        <v>0</v>
      </c>
      <c r="X65">
        <f ca="1">('1、课程目标与考核方式'!$C$7*'4、平时成绩'!$C65*0.01+'1、课程目标与考核方式'!$D$7*'4、平时成绩'!$D65*0.01+'1、课程目标与考核方式'!$E$7*'4、平时成绩'!$E65*0.01+'1、课程目标与考核方式'!$F$7*'4、平时成绩'!$F65*0.01+'1、课程目标与考核方式'!$G$7*'4、平时成绩'!$G65*0.01)/SUM('1、课程目标与考核方式'!$C$3:$G$3)</f>
        <v>0</v>
      </c>
      <c r="Y65">
        <f ca="1">('1、课程目标与考核方式'!$C$8*'4、平时成绩'!$C65*0.01+'1、课程目标与考核方式'!$D$8*'4、平时成绩'!$D65*0.01+'1、课程目标与考核方式'!$E$8*'4、平时成绩'!$E65*0.01+'1、课程目标与考核方式'!$F$8*'4、平时成绩'!$F65*0.01+'1、课程目标与考核方式'!$G$8*'4、平时成绩'!$G65*0.01)/SUM('1、课程目标与考核方式'!$C$3:$G$3)</f>
        <v>0</v>
      </c>
      <c r="Z65">
        <f ca="1">('1、课程目标与考核方式'!$C$9*'4、平时成绩'!$C65*0.01+'1、课程目标与考核方式'!$D$9*'4、平时成绩'!$D65*0.01+'1、课程目标与考核方式'!$E$9*'4、平时成绩'!$E65*0.01+'1、课程目标与考核方式'!$F$9*'4、平时成绩'!$F65*0.01+'1、课程目标与考核方式'!$G$9*'4、平时成绩'!$G65*0.01)/SUM('1、课程目标与考核方式'!$C$3:$G$3)</f>
        <v>0</v>
      </c>
      <c r="AA65">
        <f ca="1">('1、课程目标与考核方式'!$C$10*'4、平时成绩'!$C65*0.01+'1、课程目标与考核方式'!$D$10*'4、平时成绩'!$D65*0.01+'1、课程目标与考核方式'!$E$10*'4、平时成绩'!$E65*0.01+'1、课程目标与考核方式'!$F$10*'4、平时成绩'!$F65*0.01+'1、课程目标与考核方式'!$G$10*'4、平时成绩'!$G65*0.01)/SUM('1、课程目标与考核方式'!$C$3:$G$3)</f>
        <v>0</v>
      </c>
      <c r="AB65">
        <f>'3、期末成绩'!C65/'2、试卷（期末题目-课程目标）'!$C$2</f>
        <v>0.95</v>
      </c>
      <c r="AC65">
        <f>'3、期末成绩'!D65/'2、试卷（期末题目-课程目标）'!$C$3</f>
        <v>0.95</v>
      </c>
    </row>
    <row r="66" spans="10:29">
      <c r="J66" s="243" t="str">
        <f>IF(ISBLANK('3、期末成绩'!A66)," ",'3、期末成绩'!A66)</f>
        <v>1653230</v>
      </c>
      <c r="K66" s="244" t="str">
        <f>IF(J66=" "," ",VLOOKUP(J66,'3、期末成绩'!$A$2:$B$201,2,FALSE))</f>
        <v>王元天</v>
      </c>
      <c r="L66">
        <f ca="1">0.01*(T66*SUM('1、课程目标与考核方式'!$C$13:$G$13)+AB66*'1、课程目标与考核方式'!$H$13)</f>
        <v>0.7315</v>
      </c>
      <c r="M66">
        <f ca="1">0.01*(U66*SUM('1、课程目标与考核方式'!$C$13:$G$13)+AC66*'1、课程目标与考核方式'!$H$13)</f>
        <v>0.7315</v>
      </c>
      <c r="N66">
        <f ca="1">0.01*(V66*SUM('1、课程目标与考核方式'!$C$13:$G$13)+AD66*'1、课程目标与考核方式'!$H$13)</f>
        <v>0.2565</v>
      </c>
      <c r="O66">
        <f ca="1">0.01*(W66*SUM('1、课程目标与考核方式'!$C$13:$G$13)+AE66*'1、课程目标与考核方式'!$H$13)</f>
        <v>0</v>
      </c>
      <c r="P66">
        <f ca="1">0.01*(X66*SUM('1、课程目标与考核方式'!$C$13:$G$13)+AF66*'1、课程目标与考核方式'!$H$13)</f>
        <v>0</v>
      </c>
      <c r="Q66">
        <f ca="1">0.01*(Y66*SUM('1、课程目标与考核方式'!$C$13:$G$13)+AG66*'1、课程目标与考核方式'!$H$13)</f>
        <v>0</v>
      </c>
      <c r="R66">
        <f ca="1">0.01*(Z66*SUM('1、课程目标与考核方式'!$C$13:$G$13)+AH66*'1、课程目标与考核方式'!$H$13)</f>
        <v>0</v>
      </c>
      <c r="S66">
        <f ca="1">0.01*(AA66*SUM('1、课程目标与考核方式'!$C$13:$G$13)+AI66*'1、课程目标与考核方式'!$H$13)</f>
        <v>0</v>
      </c>
      <c r="T66">
        <f ca="1">('1、课程目标与考核方式'!$C$3*'4、平时成绩'!$C66*0.01+'1、课程目标与考核方式'!$D$3*'4、平时成绩'!$D66*0.01+'1、课程目标与考核方式'!$E$3*'4、平时成绩'!$E66*0.01+'1、课程目标与考核方式'!$F$3*'4、平时成绩'!$F66*0.01+'1、课程目标与考核方式'!$G$3*'4、平时成绩'!$G66*0.01)/SUM('1、课程目标与考核方式'!$C$3:$G$3)</f>
        <v>0.95</v>
      </c>
      <c r="U66">
        <f ca="1">('1、课程目标与考核方式'!$C$4*'4、平时成绩'!$C66*0.01+'1、课程目标与考核方式'!$D$4*'4、平时成绩'!$D66*0.01+'1、课程目标与考核方式'!$E$4*'4、平时成绩'!$E66*0.01+'1、课程目标与考核方式'!$F$4*'4、平时成绩'!$F66*0.01+'1、课程目标与考核方式'!$G$4*'4、平时成绩'!$G66*0.01)/SUM('1、课程目标与考核方式'!$C$3:$G$3)</f>
        <v>0.95</v>
      </c>
      <c r="V66">
        <f ca="1">('1、课程目标与考核方式'!$C$5*'4、平时成绩'!$C66*0.01+'1、课程目标与考核方式'!$D$5*'4、平时成绩'!$D66*0.01+'1、课程目标与考核方式'!$E$5*'4、平时成绩'!$E66*0.01+'1、课程目标与考核方式'!$F$5*'4、平时成绩'!$F66*0.01+'1、课程目标与考核方式'!$G$5*'4、平时成绩'!$G66*0.01)/SUM('1、课程目标与考核方式'!$C$3:$G$3)</f>
        <v>0.95</v>
      </c>
      <c r="W66">
        <f ca="1">('1、课程目标与考核方式'!$C$6*'4、平时成绩'!$C66*0.01+'1、课程目标与考核方式'!$D$6*'4、平时成绩'!$D66*0.01+'1、课程目标与考核方式'!$E$6*'4、平时成绩'!$E66*0.01+'1、课程目标与考核方式'!$F$6*'4、平时成绩'!$F66*0.01+'1、课程目标与考核方式'!$G$6*'4、平时成绩'!$G66*0.01)/SUM('1、课程目标与考核方式'!$C$3:$G$3)</f>
        <v>0</v>
      </c>
      <c r="X66">
        <f ca="1">('1、课程目标与考核方式'!$C$7*'4、平时成绩'!$C66*0.01+'1、课程目标与考核方式'!$D$7*'4、平时成绩'!$D66*0.01+'1、课程目标与考核方式'!$E$7*'4、平时成绩'!$E66*0.01+'1、课程目标与考核方式'!$F$7*'4、平时成绩'!$F66*0.01+'1、课程目标与考核方式'!$G$7*'4、平时成绩'!$G66*0.01)/SUM('1、课程目标与考核方式'!$C$3:$G$3)</f>
        <v>0</v>
      </c>
      <c r="Y66">
        <f ca="1">('1、课程目标与考核方式'!$C$8*'4、平时成绩'!$C66*0.01+'1、课程目标与考核方式'!$D$8*'4、平时成绩'!$D66*0.01+'1、课程目标与考核方式'!$E$8*'4、平时成绩'!$E66*0.01+'1、课程目标与考核方式'!$F$8*'4、平时成绩'!$F66*0.01+'1、课程目标与考核方式'!$G$8*'4、平时成绩'!$G66*0.01)/SUM('1、课程目标与考核方式'!$C$3:$G$3)</f>
        <v>0</v>
      </c>
      <c r="Z66">
        <f ca="1">('1、课程目标与考核方式'!$C$9*'4、平时成绩'!$C66*0.01+'1、课程目标与考核方式'!$D$9*'4、平时成绩'!$D66*0.01+'1、课程目标与考核方式'!$E$9*'4、平时成绩'!$E66*0.01+'1、课程目标与考核方式'!$F$9*'4、平时成绩'!$F66*0.01+'1、课程目标与考核方式'!$G$9*'4、平时成绩'!$G66*0.01)/SUM('1、课程目标与考核方式'!$C$3:$G$3)</f>
        <v>0</v>
      </c>
      <c r="AA66">
        <f ca="1">('1、课程目标与考核方式'!$C$10*'4、平时成绩'!$C66*0.01+'1、课程目标与考核方式'!$D$10*'4、平时成绩'!$D66*0.01+'1、课程目标与考核方式'!$E$10*'4、平时成绩'!$E66*0.01+'1、课程目标与考核方式'!$F$10*'4、平时成绩'!$F66*0.01+'1、课程目标与考核方式'!$G$10*'4、平时成绩'!$G66*0.01)/SUM('1、课程目标与考核方式'!$C$3:$G$3)</f>
        <v>0</v>
      </c>
      <c r="AB66">
        <f>'3、期末成绩'!C66/'2、试卷（期末题目-课程目标）'!$C$2</f>
        <v>0.95</v>
      </c>
      <c r="AC66">
        <f>'3、期末成绩'!D66/'2、试卷（期末题目-课程目标）'!$C$3</f>
        <v>0.95</v>
      </c>
    </row>
    <row r="67" spans="10:29">
      <c r="J67" s="243" t="str">
        <f>IF(ISBLANK('3、期末成绩'!A67)," ",'3、期末成绩'!A67)</f>
        <v>1653231</v>
      </c>
      <c r="K67" s="244" t="str">
        <f>IF(J67=" "," ",VLOOKUP(J67,'3、期末成绩'!$A$2:$B$201,2,FALSE))</f>
        <v>蒋弦志</v>
      </c>
      <c r="L67">
        <f ca="1">0.01*(T67*SUM('1、课程目标与考核方式'!$C$13:$G$13)+AB67*'1、课程目标与考核方式'!$H$13)</f>
        <v>0.7</v>
      </c>
      <c r="M67">
        <f ca="1">0.01*(U67*SUM('1、课程目标与考核方式'!$C$13:$G$13)+AC67*'1、课程目标与考核方式'!$H$13)</f>
        <v>0.7</v>
      </c>
      <c r="N67">
        <f ca="1">0.01*(V67*SUM('1、课程目标与考核方式'!$C$13:$G$13)+AD67*'1、课程目标与考核方式'!$H$13)</f>
        <v>0.225</v>
      </c>
      <c r="O67">
        <f ca="1">0.01*(W67*SUM('1、课程目标与考核方式'!$C$13:$G$13)+AE67*'1、课程目标与考核方式'!$H$13)</f>
        <v>0</v>
      </c>
      <c r="P67">
        <f ca="1">0.01*(X67*SUM('1、课程目标与考核方式'!$C$13:$G$13)+AF67*'1、课程目标与考核方式'!$H$13)</f>
        <v>0</v>
      </c>
      <c r="Q67">
        <f ca="1">0.01*(Y67*SUM('1、课程目标与考核方式'!$C$13:$G$13)+AG67*'1、课程目标与考核方式'!$H$13)</f>
        <v>0</v>
      </c>
      <c r="R67">
        <f ca="1">0.01*(Z67*SUM('1、课程目标与考核方式'!$C$13:$G$13)+AH67*'1、课程目标与考核方式'!$H$13)</f>
        <v>0</v>
      </c>
      <c r="S67">
        <f ca="1">0.01*(AA67*SUM('1、课程目标与考核方式'!$C$13:$G$13)+AI67*'1、课程目标与考核方式'!$H$13)</f>
        <v>0</v>
      </c>
      <c r="T67">
        <f ca="1">('1、课程目标与考核方式'!$C$3*'4、平时成绩'!$C67*0.01+'1、课程目标与考核方式'!$D$3*'4、平时成绩'!$D67*0.01+'1、课程目标与考核方式'!$E$3*'4、平时成绩'!$E67*0.01+'1、课程目标与考核方式'!$F$3*'4、平时成绩'!$F67*0.01+'1、课程目标与考核方式'!$G$3*'4、平时成绩'!$G67*0.01)/SUM('1、课程目标与考核方式'!$C$3:$G$3)</f>
        <v>0.833333333333333</v>
      </c>
      <c r="U67">
        <f ca="1">('1、课程目标与考核方式'!$C$4*'4、平时成绩'!$C67*0.01+'1、课程目标与考核方式'!$D$4*'4、平时成绩'!$D67*0.01+'1、课程目标与考核方式'!$E$4*'4、平时成绩'!$E67*0.01+'1、课程目标与考核方式'!$F$4*'4、平时成绩'!$F67*0.01+'1、课程目标与考核方式'!$G$4*'4、平时成绩'!$G67*0.01)/SUM('1、课程目标与考核方式'!$C$3:$G$3)</f>
        <v>0.833333333333333</v>
      </c>
      <c r="V67">
        <f ca="1">('1、课程目标与考核方式'!$C$5*'4、平时成绩'!$C67*0.01+'1、课程目标与考核方式'!$D$5*'4、平时成绩'!$D67*0.01+'1、课程目标与考核方式'!$E$5*'4、平时成绩'!$E67*0.01+'1、课程目标与考核方式'!$F$5*'4、平时成绩'!$F67*0.01+'1、课程目标与考核方式'!$G$5*'4、平时成绩'!$G67*0.01)/SUM('1、课程目标与考核方式'!$C$3:$G$3)</f>
        <v>0.833333333333333</v>
      </c>
      <c r="W67">
        <f ca="1">('1、课程目标与考核方式'!$C$6*'4、平时成绩'!$C67*0.01+'1、课程目标与考核方式'!$D$6*'4、平时成绩'!$D67*0.01+'1、课程目标与考核方式'!$E$6*'4、平时成绩'!$E67*0.01+'1、课程目标与考核方式'!$F$6*'4、平时成绩'!$F67*0.01+'1、课程目标与考核方式'!$G$6*'4、平时成绩'!$G67*0.01)/SUM('1、课程目标与考核方式'!$C$3:$G$3)</f>
        <v>0</v>
      </c>
      <c r="X67">
        <f ca="1">('1、课程目标与考核方式'!$C$7*'4、平时成绩'!$C67*0.01+'1、课程目标与考核方式'!$D$7*'4、平时成绩'!$D67*0.01+'1、课程目标与考核方式'!$E$7*'4、平时成绩'!$E67*0.01+'1、课程目标与考核方式'!$F$7*'4、平时成绩'!$F67*0.01+'1、课程目标与考核方式'!$G$7*'4、平时成绩'!$G67*0.01)/SUM('1、课程目标与考核方式'!$C$3:$G$3)</f>
        <v>0</v>
      </c>
      <c r="Y67">
        <f ca="1">('1、课程目标与考核方式'!$C$8*'4、平时成绩'!$C67*0.01+'1、课程目标与考核方式'!$D$8*'4、平时成绩'!$D67*0.01+'1、课程目标与考核方式'!$E$8*'4、平时成绩'!$E67*0.01+'1、课程目标与考核方式'!$F$8*'4、平时成绩'!$F67*0.01+'1、课程目标与考核方式'!$G$8*'4、平时成绩'!$G67*0.01)/SUM('1、课程目标与考核方式'!$C$3:$G$3)</f>
        <v>0</v>
      </c>
      <c r="Z67">
        <f ca="1">('1、课程目标与考核方式'!$C$9*'4、平时成绩'!$C67*0.01+'1、课程目标与考核方式'!$D$9*'4、平时成绩'!$D67*0.01+'1、课程目标与考核方式'!$E$9*'4、平时成绩'!$E67*0.01+'1、课程目标与考核方式'!$F$9*'4、平时成绩'!$F67*0.01+'1、课程目标与考核方式'!$G$9*'4、平时成绩'!$G67*0.01)/SUM('1、课程目标与考核方式'!$C$3:$G$3)</f>
        <v>0</v>
      </c>
      <c r="AA67">
        <f ca="1">('1、课程目标与考核方式'!$C$10*'4、平时成绩'!$C67*0.01+'1、课程目标与考核方式'!$D$10*'4、平时成绩'!$D67*0.01+'1、课程目标与考核方式'!$E$10*'4、平时成绩'!$E67*0.01+'1、课程目标与考核方式'!$F$10*'4、平时成绩'!$F67*0.01+'1、课程目标与考核方式'!$G$10*'4、平时成绩'!$G67*0.01)/SUM('1、课程目标与考核方式'!$C$3:$G$3)</f>
        <v>0</v>
      </c>
      <c r="AB67">
        <f>'3、期末成绩'!C67/'2、试卷（期末题目-课程目标）'!$C$2</f>
        <v>0.95</v>
      </c>
      <c r="AC67">
        <f>'3、期末成绩'!D67/'2、试卷（期末题目-课程目标）'!$C$3</f>
        <v>0.95</v>
      </c>
    </row>
    <row r="68" spans="10:29">
      <c r="J68" s="243" t="str">
        <f>IF(ISBLANK('3、期末成绩'!A68)," ",'3、期末成绩'!A68)</f>
        <v>1653232</v>
      </c>
      <c r="K68" s="244" t="str">
        <f>IF(J68=" "," ",VLOOKUP(J68,'3、期末成绩'!$A$2:$B$201,2,FALSE))</f>
        <v>李传奇</v>
      </c>
      <c r="L68">
        <f ca="1">0.01*(T68*SUM('1、课程目标与考核方式'!$C$13:$G$13)+AB68*'1、课程目标与考核方式'!$H$13)</f>
        <v>0.7216</v>
      </c>
      <c r="M68">
        <f ca="1">0.01*(U68*SUM('1、课程目标与考核方式'!$C$13:$G$13)+AC68*'1、课程目标与考核方式'!$H$13)</f>
        <v>0.7216</v>
      </c>
      <c r="N68">
        <f ca="1">0.01*(V68*SUM('1、课程目标与考核方式'!$C$13:$G$13)+AD68*'1、课程目标与考核方式'!$H$13)</f>
        <v>0.2466</v>
      </c>
      <c r="O68">
        <f ca="1">0.01*(W68*SUM('1、课程目标与考核方式'!$C$13:$G$13)+AE68*'1、课程目标与考核方式'!$H$13)</f>
        <v>0</v>
      </c>
      <c r="P68">
        <f ca="1">0.01*(X68*SUM('1、课程目标与考核方式'!$C$13:$G$13)+AF68*'1、课程目标与考核方式'!$H$13)</f>
        <v>0</v>
      </c>
      <c r="Q68">
        <f ca="1">0.01*(Y68*SUM('1、课程目标与考核方式'!$C$13:$G$13)+AG68*'1、课程目标与考核方式'!$H$13)</f>
        <v>0</v>
      </c>
      <c r="R68">
        <f ca="1">0.01*(Z68*SUM('1、课程目标与考核方式'!$C$13:$G$13)+AH68*'1、课程目标与考核方式'!$H$13)</f>
        <v>0</v>
      </c>
      <c r="S68">
        <f ca="1">0.01*(AA68*SUM('1、课程目标与考核方式'!$C$13:$G$13)+AI68*'1、课程目标与考核方式'!$H$13)</f>
        <v>0</v>
      </c>
      <c r="T68">
        <f ca="1">('1、课程目标与考核方式'!$C$3*'4、平时成绩'!$C68*0.01+'1、课程目标与考核方式'!$D$3*'4、平时成绩'!$D68*0.01+'1、课程目标与考核方式'!$E$3*'4、平时成绩'!$E68*0.01+'1、课程目标与考核方式'!$F$3*'4、平时成绩'!$F68*0.01+'1、课程目标与考核方式'!$G$3*'4、平时成绩'!$G68*0.01)/SUM('1、课程目标与考核方式'!$C$3:$G$3)</f>
        <v>0.913333333333333</v>
      </c>
      <c r="U68">
        <f ca="1">('1、课程目标与考核方式'!$C$4*'4、平时成绩'!$C68*0.01+'1、课程目标与考核方式'!$D$4*'4、平时成绩'!$D68*0.01+'1、课程目标与考核方式'!$E$4*'4、平时成绩'!$E68*0.01+'1、课程目标与考核方式'!$F$4*'4、平时成绩'!$F68*0.01+'1、课程目标与考核方式'!$G$4*'4、平时成绩'!$G68*0.01)/SUM('1、课程目标与考核方式'!$C$3:$G$3)</f>
        <v>0.913333333333333</v>
      </c>
      <c r="V68">
        <f ca="1">('1、课程目标与考核方式'!$C$5*'4、平时成绩'!$C68*0.01+'1、课程目标与考核方式'!$D$5*'4、平时成绩'!$D68*0.01+'1、课程目标与考核方式'!$E$5*'4、平时成绩'!$E68*0.01+'1、课程目标与考核方式'!$F$5*'4、平时成绩'!$F68*0.01+'1、课程目标与考核方式'!$G$5*'4、平时成绩'!$G68*0.01)/SUM('1、课程目标与考核方式'!$C$3:$G$3)</f>
        <v>0.913333333333333</v>
      </c>
      <c r="W68">
        <f ca="1">('1、课程目标与考核方式'!$C$6*'4、平时成绩'!$C68*0.01+'1、课程目标与考核方式'!$D$6*'4、平时成绩'!$D68*0.01+'1、课程目标与考核方式'!$E$6*'4、平时成绩'!$E68*0.01+'1、课程目标与考核方式'!$F$6*'4、平时成绩'!$F68*0.01+'1、课程目标与考核方式'!$G$6*'4、平时成绩'!$G68*0.01)/SUM('1、课程目标与考核方式'!$C$3:$G$3)</f>
        <v>0</v>
      </c>
      <c r="X68">
        <f ca="1">('1、课程目标与考核方式'!$C$7*'4、平时成绩'!$C68*0.01+'1、课程目标与考核方式'!$D$7*'4、平时成绩'!$D68*0.01+'1、课程目标与考核方式'!$E$7*'4、平时成绩'!$E68*0.01+'1、课程目标与考核方式'!$F$7*'4、平时成绩'!$F68*0.01+'1、课程目标与考核方式'!$G$7*'4、平时成绩'!$G68*0.01)/SUM('1、课程目标与考核方式'!$C$3:$G$3)</f>
        <v>0</v>
      </c>
      <c r="Y68">
        <f ca="1">('1、课程目标与考核方式'!$C$8*'4、平时成绩'!$C68*0.01+'1、课程目标与考核方式'!$D$8*'4、平时成绩'!$D68*0.01+'1、课程目标与考核方式'!$E$8*'4、平时成绩'!$E68*0.01+'1、课程目标与考核方式'!$F$8*'4、平时成绩'!$F68*0.01+'1、课程目标与考核方式'!$G$8*'4、平时成绩'!$G68*0.01)/SUM('1、课程目标与考核方式'!$C$3:$G$3)</f>
        <v>0</v>
      </c>
      <c r="Z68">
        <f ca="1">('1、课程目标与考核方式'!$C$9*'4、平时成绩'!$C68*0.01+'1、课程目标与考核方式'!$D$9*'4、平时成绩'!$D68*0.01+'1、课程目标与考核方式'!$E$9*'4、平时成绩'!$E68*0.01+'1、课程目标与考核方式'!$F$9*'4、平时成绩'!$F68*0.01+'1、课程目标与考核方式'!$G$9*'4、平时成绩'!$G68*0.01)/SUM('1、课程目标与考核方式'!$C$3:$G$3)</f>
        <v>0</v>
      </c>
      <c r="AA68">
        <f ca="1">('1、课程目标与考核方式'!$C$10*'4、平时成绩'!$C68*0.01+'1、课程目标与考核方式'!$D$10*'4、平时成绩'!$D68*0.01+'1、课程目标与考核方式'!$E$10*'4、平时成绩'!$E68*0.01+'1、课程目标与考核方式'!$F$10*'4、平时成绩'!$F68*0.01+'1、课程目标与考核方式'!$G$10*'4、平时成绩'!$G68*0.01)/SUM('1、课程目标与考核方式'!$C$3:$G$3)</f>
        <v>0</v>
      </c>
      <c r="AB68">
        <f>'3、期末成绩'!C68/'2、试卷（期末题目-课程目标）'!$C$2</f>
        <v>0.95</v>
      </c>
      <c r="AC68">
        <f>'3、期末成绩'!D68/'2、试卷（期末题目-课程目标）'!$C$3</f>
        <v>0.95</v>
      </c>
    </row>
    <row r="69" spans="10:29">
      <c r="J69" s="243" t="str">
        <f>IF(ISBLANK('3、期末成绩'!A69)," ",'3、期末成绩'!A69)</f>
        <v>1653233</v>
      </c>
      <c r="K69" s="244" t="str">
        <f>IF(J69=" "," ",VLOOKUP(J69,'3、期末成绩'!$A$2:$B$201,2,FALSE))</f>
        <v>庞伟雄</v>
      </c>
      <c r="L69">
        <f ca="1">0.01*(T69*SUM('1、课程目标与考核方式'!$C$13:$G$13)+AB69*'1、课程目标与考核方式'!$H$13)</f>
        <v>0.6823</v>
      </c>
      <c r="M69">
        <f ca="1">0.01*(U69*SUM('1、课程目标与考核方式'!$C$13:$G$13)+AC69*'1、课程目标与考核方式'!$H$13)</f>
        <v>0.6823</v>
      </c>
      <c r="N69">
        <f ca="1">0.01*(V69*SUM('1、课程目标与考核方式'!$C$13:$G$13)+AD69*'1、课程目标与考核方式'!$H$13)</f>
        <v>0.2073</v>
      </c>
      <c r="O69">
        <f ca="1">0.01*(W69*SUM('1、课程目标与考核方式'!$C$13:$G$13)+AE69*'1、课程目标与考核方式'!$H$13)</f>
        <v>0</v>
      </c>
      <c r="P69">
        <f ca="1">0.01*(X69*SUM('1、课程目标与考核方式'!$C$13:$G$13)+AF69*'1、课程目标与考核方式'!$H$13)</f>
        <v>0</v>
      </c>
      <c r="Q69">
        <f ca="1">0.01*(Y69*SUM('1、课程目标与考核方式'!$C$13:$G$13)+AG69*'1、课程目标与考核方式'!$H$13)</f>
        <v>0</v>
      </c>
      <c r="R69">
        <f ca="1">0.01*(Z69*SUM('1、课程目标与考核方式'!$C$13:$G$13)+AH69*'1、课程目标与考核方式'!$H$13)</f>
        <v>0</v>
      </c>
      <c r="S69">
        <f ca="1">0.01*(AA69*SUM('1、课程目标与考核方式'!$C$13:$G$13)+AI69*'1、课程目标与考核方式'!$H$13)</f>
        <v>0</v>
      </c>
      <c r="T69">
        <f ca="1">('1、课程目标与考核方式'!$C$3*'4、平时成绩'!$C69*0.01+'1、课程目标与考核方式'!$D$3*'4、平时成绩'!$D69*0.01+'1、课程目标与考核方式'!$E$3*'4、平时成绩'!$E69*0.01+'1、课程目标与考核方式'!$F$3*'4、平时成绩'!$F69*0.01+'1、课程目标与考核方式'!$G$3*'4、平时成绩'!$G69*0.01)/SUM('1、课程目标与考核方式'!$C$3:$G$3)</f>
        <v>0.767777777777778</v>
      </c>
      <c r="U69">
        <f ca="1">('1、课程目标与考核方式'!$C$4*'4、平时成绩'!$C69*0.01+'1、课程目标与考核方式'!$D$4*'4、平时成绩'!$D69*0.01+'1、课程目标与考核方式'!$E$4*'4、平时成绩'!$E69*0.01+'1、课程目标与考核方式'!$F$4*'4、平时成绩'!$F69*0.01+'1、课程目标与考核方式'!$G$4*'4、平时成绩'!$G69*0.01)/SUM('1、课程目标与考核方式'!$C$3:$G$3)</f>
        <v>0.767777777777778</v>
      </c>
      <c r="V69">
        <f ca="1">('1、课程目标与考核方式'!$C$5*'4、平时成绩'!$C69*0.01+'1、课程目标与考核方式'!$D$5*'4、平时成绩'!$D69*0.01+'1、课程目标与考核方式'!$E$5*'4、平时成绩'!$E69*0.01+'1、课程目标与考核方式'!$F$5*'4、平时成绩'!$F69*0.01+'1、课程目标与考核方式'!$G$5*'4、平时成绩'!$G69*0.01)/SUM('1、课程目标与考核方式'!$C$3:$G$3)</f>
        <v>0.767777777777778</v>
      </c>
      <c r="W69">
        <f ca="1">('1、课程目标与考核方式'!$C$6*'4、平时成绩'!$C69*0.01+'1、课程目标与考核方式'!$D$6*'4、平时成绩'!$D69*0.01+'1、课程目标与考核方式'!$E$6*'4、平时成绩'!$E69*0.01+'1、课程目标与考核方式'!$F$6*'4、平时成绩'!$F69*0.01+'1、课程目标与考核方式'!$G$6*'4、平时成绩'!$G69*0.01)/SUM('1、课程目标与考核方式'!$C$3:$G$3)</f>
        <v>0</v>
      </c>
      <c r="X69">
        <f ca="1">('1、课程目标与考核方式'!$C$7*'4、平时成绩'!$C69*0.01+'1、课程目标与考核方式'!$D$7*'4、平时成绩'!$D69*0.01+'1、课程目标与考核方式'!$E$7*'4、平时成绩'!$E69*0.01+'1、课程目标与考核方式'!$F$7*'4、平时成绩'!$F69*0.01+'1、课程目标与考核方式'!$G$7*'4、平时成绩'!$G69*0.01)/SUM('1、课程目标与考核方式'!$C$3:$G$3)</f>
        <v>0</v>
      </c>
      <c r="Y69">
        <f ca="1">('1、课程目标与考核方式'!$C$8*'4、平时成绩'!$C69*0.01+'1、课程目标与考核方式'!$D$8*'4、平时成绩'!$D69*0.01+'1、课程目标与考核方式'!$E$8*'4、平时成绩'!$E69*0.01+'1、课程目标与考核方式'!$F$8*'4、平时成绩'!$F69*0.01+'1、课程目标与考核方式'!$G$8*'4、平时成绩'!$G69*0.01)/SUM('1、课程目标与考核方式'!$C$3:$G$3)</f>
        <v>0</v>
      </c>
      <c r="Z69">
        <f ca="1">('1、课程目标与考核方式'!$C$9*'4、平时成绩'!$C69*0.01+'1、课程目标与考核方式'!$D$9*'4、平时成绩'!$D69*0.01+'1、课程目标与考核方式'!$E$9*'4、平时成绩'!$E69*0.01+'1、课程目标与考核方式'!$F$9*'4、平时成绩'!$F69*0.01+'1、课程目标与考核方式'!$G$9*'4、平时成绩'!$G69*0.01)/SUM('1、课程目标与考核方式'!$C$3:$G$3)</f>
        <v>0</v>
      </c>
      <c r="AA69">
        <f ca="1">('1、课程目标与考核方式'!$C$10*'4、平时成绩'!$C69*0.01+'1、课程目标与考核方式'!$D$10*'4、平时成绩'!$D69*0.01+'1、课程目标与考核方式'!$E$10*'4、平时成绩'!$E69*0.01+'1、课程目标与考核方式'!$F$10*'4、平时成绩'!$F69*0.01+'1、课程目标与考核方式'!$G$10*'4、平时成绩'!$G69*0.01)/SUM('1、课程目标与考核方式'!$C$3:$G$3)</f>
        <v>0</v>
      </c>
      <c r="AB69">
        <f>'3、期末成绩'!C69/'2、试卷（期末题目-课程目标）'!$C$2</f>
        <v>0.95</v>
      </c>
      <c r="AC69">
        <f>'3、期末成绩'!D69/'2、试卷（期末题目-课程目标）'!$C$3</f>
        <v>0.95</v>
      </c>
    </row>
    <row r="70" spans="10:29">
      <c r="J70" s="243" t="str">
        <f>IF(ISBLANK('3、期末成绩'!A70)," ",'3、期末成绩'!A70)</f>
        <v>1653235</v>
      </c>
      <c r="K70" s="244" t="str">
        <f>IF(J70=" "," ",VLOOKUP(J70,'3、期末成绩'!$A$2:$B$201,2,FALSE))</f>
        <v>潘文俊</v>
      </c>
      <c r="L70">
        <f ca="1">0.01*(T70*SUM('1、课程目标与考核方式'!$C$13:$G$13)+AB70*'1、课程目标与考核方式'!$H$13)</f>
        <v>0.697</v>
      </c>
      <c r="M70">
        <f ca="1">0.01*(U70*SUM('1、课程目标与考核方式'!$C$13:$G$13)+AC70*'1、课程目标与考核方式'!$H$13)</f>
        <v>0.697</v>
      </c>
      <c r="N70">
        <f ca="1">0.01*(V70*SUM('1、课程目标与考核方式'!$C$13:$G$13)+AD70*'1、课程目标与考核方式'!$H$13)</f>
        <v>0.222</v>
      </c>
      <c r="O70">
        <f ca="1">0.01*(W70*SUM('1、课程目标与考核方式'!$C$13:$G$13)+AE70*'1、课程目标与考核方式'!$H$13)</f>
        <v>0</v>
      </c>
      <c r="P70">
        <f ca="1">0.01*(X70*SUM('1、课程目标与考核方式'!$C$13:$G$13)+AF70*'1、课程目标与考核方式'!$H$13)</f>
        <v>0</v>
      </c>
      <c r="Q70">
        <f ca="1">0.01*(Y70*SUM('1、课程目标与考核方式'!$C$13:$G$13)+AG70*'1、课程目标与考核方式'!$H$13)</f>
        <v>0</v>
      </c>
      <c r="R70">
        <f ca="1">0.01*(Z70*SUM('1、课程目标与考核方式'!$C$13:$G$13)+AH70*'1、课程目标与考核方式'!$H$13)</f>
        <v>0</v>
      </c>
      <c r="S70">
        <f ca="1">0.01*(AA70*SUM('1、课程目标与考核方式'!$C$13:$G$13)+AI70*'1、课程目标与考核方式'!$H$13)</f>
        <v>0</v>
      </c>
      <c r="T70">
        <f ca="1">('1、课程目标与考核方式'!$C$3*'4、平时成绩'!$C70*0.01+'1、课程目标与考核方式'!$D$3*'4、平时成绩'!$D70*0.01+'1、课程目标与考核方式'!$E$3*'4、平时成绩'!$E70*0.01+'1、课程目标与考核方式'!$F$3*'4、平时成绩'!$F70*0.01+'1、课程目标与考核方式'!$G$3*'4、平时成绩'!$G70*0.01)/SUM('1、课程目标与考核方式'!$C$3:$G$3)</f>
        <v>0.822222222222222</v>
      </c>
      <c r="U70">
        <f ca="1">('1、课程目标与考核方式'!$C$4*'4、平时成绩'!$C70*0.01+'1、课程目标与考核方式'!$D$4*'4、平时成绩'!$D70*0.01+'1、课程目标与考核方式'!$E$4*'4、平时成绩'!$E70*0.01+'1、课程目标与考核方式'!$F$4*'4、平时成绩'!$F70*0.01+'1、课程目标与考核方式'!$G$4*'4、平时成绩'!$G70*0.01)/SUM('1、课程目标与考核方式'!$C$3:$G$3)</f>
        <v>0.822222222222222</v>
      </c>
      <c r="V70">
        <f ca="1">('1、课程目标与考核方式'!$C$5*'4、平时成绩'!$C70*0.01+'1、课程目标与考核方式'!$D$5*'4、平时成绩'!$D70*0.01+'1、课程目标与考核方式'!$E$5*'4、平时成绩'!$E70*0.01+'1、课程目标与考核方式'!$F$5*'4、平时成绩'!$F70*0.01+'1、课程目标与考核方式'!$G$5*'4、平时成绩'!$G70*0.01)/SUM('1、课程目标与考核方式'!$C$3:$G$3)</f>
        <v>0.822222222222222</v>
      </c>
      <c r="W70">
        <f ca="1">('1、课程目标与考核方式'!$C$6*'4、平时成绩'!$C70*0.01+'1、课程目标与考核方式'!$D$6*'4、平时成绩'!$D70*0.01+'1、课程目标与考核方式'!$E$6*'4、平时成绩'!$E70*0.01+'1、课程目标与考核方式'!$F$6*'4、平时成绩'!$F70*0.01+'1、课程目标与考核方式'!$G$6*'4、平时成绩'!$G70*0.01)/SUM('1、课程目标与考核方式'!$C$3:$G$3)</f>
        <v>0</v>
      </c>
      <c r="X70">
        <f ca="1">('1、课程目标与考核方式'!$C$7*'4、平时成绩'!$C70*0.01+'1、课程目标与考核方式'!$D$7*'4、平时成绩'!$D70*0.01+'1、课程目标与考核方式'!$E$7*'4、平时成绩'!$E70*0.01+'1、课程目标与考核方式'!$F$7*'4、平时成绩'!$F70*0.01+'1、课程目标与考核方式'!$G$7*'4、平时成绩'!$G70*0.01)/SUM('1、课程目标与考核方式'!$C$3:$G$3)</f>
        <v>0</v>
      </c>
      <c r="Y70">
        <f ca="1">('1、课程目标与考核方式'!$C$8*'4、平时成绩'!$C70*0.01+'1、课程目标与考核方式'!$D$8*'4、平时成绩'!$D70*0.01+'1、课程目标与考核方式'!$E$8*'4、平时成绩'!$E70*0.01+'1、课程目标与考核方式'!$F$8*'4、平时成绩'!$F70*0.01+'1、课程目标与考核方式'!$G$8*'4、平时成绩'!$G70*0.01)/SUM('1、课程目标与考核方式'!$C$3:$G$3)</f>
        <v>0</v>
      </c>
      <c r="Z70">
        <f ca="1">('1、课程目标与考核方式'!$C$9*'4、平时成绩'!$C70*0.01+'1、课程目标与考核方式'!$D$9*'4、平时成绩'!$D70*0.01+'1、课程目标与考核方式'!$E$9*'4、平时成绩'!$E70*0.01+'1、课程目标与考核方式'!$F$9*'4、平时成绩'!$F70*0.01+'1、课程目标与考核方式'!$G$9*'4、平时成绩'!$G70*0.01)/SUM('1、课程目标与考核方式'!$C$3:$G$3)</f>
        <v>0</v>
      </c>
      <c r="AA70">
        <f ca="1">('1、课程目标与考核方式'!$C$10*'4、平时成绩'!$C70*0.01+'1、课程目标与考核方式'!$D$10*'4、平时成绩'!$D70*0.01+'1、课程目标与考核方式'!$E$10*'4、平时成绩'!$E70*0.01+'1、课程目标与考核方式'!$F$10*'4、平时成绩'!$F70*0.01+'1、课程目标与考核方式'!$G$10*'4、平时成绩'!$G70*0.01)/SUM('1、课程目标与考核方式'!$C$3:$G$3)</f>
        <v>0</v>
      </c>
      <c r="AB70">
        <f>'3、期末成绩'!C70/'2、试卷（期末题目-课程目标）'!$C$2</f>
        <v>0.95</v>
      </c>
      <c r="AC70">
        <f>'3、期末成绩'!D70/'2、试卷（期末题目-课程目标）'!$C$3</f>
        <v>0.95</v>
      </c>
    </row>
    <row r="71" spans="10:29">
      <c r="J71" s="243" t="str">
        <f>IF(ISBLANK('3、期末成绩'!A71)," ",'3、期末成绩'!A71)</f>
        <v>1653236</v>
      </c>
      <c r="K71" s="244" t="str">
        <f>IF(J71=" "," ",VLOOKUP(J71,'3、期末成绩'!$A$2:$B$201,2,FALSE))</f>
        <v>赵海旭</v>
      </c>
      <c r="L71">
        <f ca="1">0.01*(T71*SUM('1、课程目标与考核方式'!$C$13:$G$13)+AB71*'1、课程目标与考核方式'!$H$13)</f>
        <v>0.7288</v>
      </c>
      <c r="M71">
        <f ca="1">0.01*(U71*SUM('1、课程目标与考核方式'!$C$13:$G$13)+AC71*'1、课程目标与考核方式'!$H$13)</f>
        <v>0.7288</v>
      </c>
      <c r="N71">
        <f ca="1">0.01*(V71*SUM('1、课程目标与考核方式'!$C$13:$G$13)+AD71*'1、课程目标与考核方式'!$H$13)</f>
        <v>0.2538</v>
      </c>
      <c r="O71">
        <f ca="1">0.01*(W71*SUM('1、课程目标与考核方式'!$C$13:$G$13)+AE71*'1、课程目标与考核方式'!$H$13)</f>
        <v>0</v>
      </c>
      <c r="P71">
        <f ca="1">0.01*(X71*SUM('1、课程目标与考核方式'!$C$13:$G$13)+AF71*'1、课程目标与考核方式'!$H$13)</f>
        <v>0</v>
      </c>
      <c r="Q71">
        <f ca="1">0.01*(Y71*SUM('1、课程目标与考核方式'!$C$13:$G$13)+AG71*'1、课程目标与考核方式'!$H$13)</f>
        <v>0</v>
      </c>
      <c r="R71">
        <f ca="1">0.01*(Z71*SUM('1、课程目标与考核方式'!$C$13:$G$13)+AH71*'1、课程目标与考核方式'!$H$13)</f>
        <v>0</v>
      </c>
      <c r="S71">
        <f ca="1">0.01*(AA71*SUM('1、课程目标与考核方式'!$C$13:$G$13)+AI71*'1、课程目标与考核方式'!$H$13)</f>
        <v>0</v>
      </c>
      <c r="T71">
        <f ca="1">('1、课程目标与考核方式'!$C$3*'4、平时成绩'!$C71*0.01+'1、课程目标与考核方式'!$D$3*'4、平时成绩'!$D71*0.01+'1、课程目标与考核方式'!$E$3*'4、平时成绩'!$E71*0.01+'1、课程目标与考核方式'!$F$3*'4、平时成绩'!$F71*0.01+'1、课程目标与考核方式'!$G$3*'4、平时成绩'!$G71*0.01)/SUM('1、课程目标与考核方式'!$C$3:$G$3)</f>
        <v>0.94</v>
      </c>
      <c r="U71">
        <f ca="1">('1、课程目标与考核方式'!$C$4*'4、平时成绩'!$C71*0.01+'1、课程目标与考核方式'!$D$4*'4、平时成绩'!$D71*0.01+'1、课程目标与考核方式'!$E$4*'4、平时成绩'!$E71*0.01+'1、课程目标与考核方式'!$F$4*'4、平时成绩'!$F71*0.01+'1、课程目标与考核方式'!$G$4*'4、平时成绩'!$G71*0.01)/SUM('1、课程目标与考核方式'!$C$3:$G$3)</f>
        <v>0.94</v>
      </c>
      <c r="V71">
        <f ca="1">('1、课程目标与考核方式'!$C$5*'4、平时成绩'!$C71*0.01+'1、课程目标与考核方式'!$D$5*'4、平时成绩'!$D71*0.01+'1、课程目标与考核方式'!$E$5*'4、平时成绩'!$E71*0.01+'1、课程目标与考核方式'!$F$5*'4、平时成绩'!$F71*0.01+'1、课程目标与考核方式'!$G$5*'4、平时成绩'!$G71*0.01)/SUM('1、课程目标与考核方式'!$C$3:$G$3)</f>
        <v>0.94</v>
      </c>
      <c r="W71">
        <f ca="1">('1、课程目标与考核方式'!$C$6*'4、平时成绩'!$C71*0.01+'1、课程目标与考核方式'!$D$6*'4、平时成绩'!$D71*0.01+'1、课程目标与考核方式'!$E$6*'4、平时成绩'!$E71*0.01+'1、课程目标与考核方式'!$F$6*'4、平时成绩'!$F71*0.01+'1、课程目标与考核方式'!$G$6*'4、平时成绩'!$G71*0.01)/SUM('1、课程目标与考核方式'!$C$3:$G$3)</f>
        <v>0</v>
      </c>
      <c r="X71">
        <f ca="1">('1、课程目标与考核方式'!$C$7*'4、平时成绩'!$C71*0.01+'1、课程目标与考核方式'!$D$7*'4、平时成绩'!$D71*0.01+'1、课程目标与考核方式'!$E$7*'4、平时成绩'!$E71*0.01+'1、课程目标与考核方式'!$F$7*'4、平时成绩'!$F71*0.01+'1、课程目标与考核方式'!$G$7*'4、平时成绩'!$G71*0.01)/SUM('1、课程目标与考核方式'!$C$3:$G$3)</f>
        <v>0</v>
      </c>
      <c r="Y71">
        <f ca="1">('1、课程目标与考核方式'!$C$8*'4、平时成绩'!$C71*0.01+'1、课程目标与考核方式'!$D$8*'4、平时成绩'!$D71*0.01+'1、课程目标与考核方式'!$E$8*'4、平时成绩'!$E71*0.01+'1、课程目标与考核方式'!$F$8*'4、平时成绩'!$F71*0.01+'1、课程目标与考核方式'!$G$8*'4、平时成绩'!$G71*0.01)/SUM('1、课程目标与考核方式'!$C$3:$G$3)</f>
        <v>0</v>
      </c>
      <c r="Z71">
        <f ca="1">('1、课程目标与考核方式'!$C$9*'4、平时成绩'!$C71*0.01+'1、课程目标与考核方式'!$D$9*'4、平时成绩'!$D71*0.01+'1、课程目标与考核方式'!$E$9*'4、平时成绩'!$E71*0.01+'1、课程目标与考核方式'!$F$9*'4、平时成绩'!$F71*0.01+'1、课程目标与考核方式'!$G$9*'4、平时成绩'!$G71*0.01)/SUM('1、课程目标与考核方式'!$C$3:$G$3)</f>
        <v>0</v>
      </c>
      <c r="AA71">
        <f ca="1">('1、课程目标与考核方式'!$C$10*'4、平时成绩'!$C71*0.01+'1、课程目标与考核方式'!$D$10*'4、平时成绩'!$D71*0.01+'1、课程目标与考核方式'!$E$10*'4、平时成绩'!$E71*0.01+'1、课程目标与考核方式'!$F$10*'4、平时成绩'!$F71*0.01+'1、课程目标与考核方式'!$G$10*'4、平时成绩'!$G71*0.01)/SUM('1、课程目标与考核方式'!$C$3:$G$3)</f>
        <v>0</v>
      </c>
      <c r="AB71">
        <f>'3、期末成绩'!C71/'2、试卷（期末题目-课程目标）'!$C$2</f>
        <v>0.95</v>
      </c>
      <c r="AC71">
        <f>'3、期末成绩'!D71/'2、试卷（期末题目-课程目标）'!$C$3</f>
        <v>0.95</v>
      </c>
    </row>
    <row r="72" spans="10:29">
      <c r="J72" s="243" t="str">
        <f>IF(ISBLANK('3、期末成绩'!A72)," ",'3、期末成绩'!A72)</f>
        <v> </v>
      </c>
      <c r="K72" s="244" t="str">
        <f>IF(J72=" "," ",VLOOKUP(J72,'3、期末成绩'!$A$2:$B$201,2,FALSE))</f>
        <v> </v>
      </c>
      <c r="L72">
        <f>0.01*(T72*SUM('1、课程目标与考核方式'!$C$13:$G$13)+AB72*'1、课程目标与考核方式'!$H$13)</f>
        <v>0</v>
      </c>
      <c r="M72">
        <f>0.01*(U72*SUM('1、课程目标与考核方式'!$C$13:$G$13)+AC72*'1、课程目标与考核方式'!$H$13)</f>
        <v>0</v>
      </c>
      <c r="N72">
        <f>0.01*(V72*SUM('1、课程目标与考核方式'!$C$13:$G$13)+AD72*'1、课程目标与考核方式'!$H$13)</f>
        <v>0</v>
      </c>
      <c r="O72">
        <f>0.01*(W72*SUM('1、课程目标与考核方式'!$C$13:$G$13)+AE72*'1、课程目标与考核方式'!$H$13)</f>
        <v>0</v>
      </c>
      <c r="P72">
        <f>0.01*(X72*SUM('1、课程目标与考核方式'!$C$13:$G$13)+AF72*'1、课程目标与考核方式'!$H$13)</f>
        <v>0</v>
      </c>
      <c r="Q72">
        <f>0.01*(Y72*SUM('1、课程目标与考核方式'!$C$13:$G$13)+AG72*'1、课程目标与考核方式'!$H$13)</f>
        <v>0</v>
      </c>
      <c r="R72">
        <f>0.01*(Z72*SUM('1、课程目标与考核方式'!$C$13:$G$13)+AH72*'1、课程目标与考核方式'!$H$13)</f>
        <v>0</v>
      </c>
      <c r="S72">
        <f>0.01*(AA72*SUM('1、课程目标与考核方式'!$C$13:$G$13)+AI72*'1、课程目标与考核方式'!$H$13)</f>
        <v>0</v>
      </c>
      <c r="T72">
        <f>('1、课程目标与考核方式'!$C$3*'4、平时成绩'!$C72*0.01+'1、课程目标与考核方式'!$D$3*'4、平时成绩'!$D72*0.01+'1、课程目标与考核方式'!$E$3*'4、平时成绩'!$E72*0.01+'1、课程目标与考核方式'!$F$3*'4、平时成绩'!$F72*0.01+'1、课程目标与考核方式'!$G$3*'4、平时成绩'!$G72*0.01)/SUM('1、课程目标与考核方式'!$C$3:$G$3)</f>
        <v>0</v>
      </c>
      <c r="U72">
        <f>('1、课程目标与考核方式'!$C$4*'4、平时成绩'!$C72*0.01+'1、课程目标与考核方式'!$D$4*'4、平时成绩'!$D72*0.01+'1、课程目标与考核方式'!$E$4*'4、平时成绩'!$E72*0.01+'1、课程目标与考核方式'!$F$4*'4、平时成绩'!$F72*0.01+'1、课程目标与考核方式'!$G$4*'4、平时成绩'!$G72*0.01)/SUM('1、课程目标与考核方式'!$C$3:$G$3)</f>
        <v>0</v>
      </c>
      <c r="V72">
        <f>('1、课程目标与考核方式'!$C$5*'4、平时成绩'!$C72*0.01+'1、课程目标与考核方式'!$D$5*'4、平时成绩'!$D72*0.01+'1、课程目标与考核方式'!$E$5*'4、平时成绩'!$E72*0.01+'1、课程目标与考核方式'!$F$5*'4、平时成绩'!$F72*0.01+'1、课程目标与考核方式'!$G$5*'4、平时成绩'!$G72*0.01)/SUM('1、课程目标与考核方式'!$C$3:$G$3)</f>
        <v>0</v>
      </c>
      <c r="W72">
        <f>('1、课程目标与考核方式'!$C$6*'4、平时成绩'!$C72*0.01+'1、课程目标与考核方式'!$D$6*'4、平时成绩'!$D72*0.01+'1、课程目标与考核方式'!$E$6*'4、平时成绩'!$E72*0.01+'1、课程目标与考核方式'!$F$6*'4、平时成绩'!$F72*0.01+'1、课程目标与考核方式'!$G$6*'4、平时成绩'!$G72*0.01)/SUM('1、课程目标与考核方式'!$C$3:$G$3)</f>
        <v>0</v>
      </c>
      <c r="X72">
        <f>('1、课程目标与考核方式'!$C$7*'4、平时成绩'!$C72*0.01+'1、课程目标与考核方式'!$D$7*'4、平时成绩'!$D72*0.01+'1、课程目标与考核方式'!$E$7*'4、平时成绩'!$E72*0.01+'1、课程目标与考核方式'!$F$7*'4、平时成绩'!$F72*0.01+'1、课程目标与考核方式'!$G$7*'4、平时成绩'!$G72*0.01)/SUM('1、课程目标与考核方式'!$C$3:$G$3)</f>
        <v>0</v>
      </c>
      <c r="Y72">
        <f>('1、课程目标与考核方式'!$C$8*'4、平时成绩'!$C72*0.01+'1、课程目标与考核方式'!$D$8*'4、平时成绩'!$D72*0.01+'1、课程目标与考核方式'!$E$8*'4、平时成绩'!$E72*0.01+'1、课程目标与考核方式'!$F$8*'4、平时成绩'!$F72*0.01+'1、课程目标与考核方式'!$G$8*'4、平时成绩'!$G72*0.01)/SUM('1、课程目标与考核方式'!$C$3:$G$3)</f>
        <v>0</v>
      </c>
      <c r="Z72">
        <f>('1、课程目标与考核方式'!$C$9*'4、平时成绩'!$C72*0.01+'1、课程目标与考核方式'!$D$9*'4、平时成绩'!$D72*0.01+'1、课程目标与考核方式'!$E$9*'4、平时成绩'!$E72*0.01+'1、课程目标与考核方式'!$F$9*'4、平时成绩'!$F72*0.01+'1、课程目标与考核方式'!$G$9*'4、平时成绩'!$G72*0.01)/SUM('1、课程目标与考核方式'!$C$3:$G$3)</f>
        <v>0</v>
      </c>
      <c r="AA72">
        <f>('1、课程目标与考核方式'!$C$10*'4、平时成绩'!$C72*0.01+'1、课程目标与考核方式'!$D$10*'4、平时成绩'!$D72*0.01+'1、课程目标与考核方式'!$E$10*'4、平时成绩'!$E72*0.01+'1、课程目标与考核方式'!$F$10*'4、平时成绩'!$F72*0.01+'1、课程目标与考核方式'!$G$10*'4、平时成绩'!$G72*0.01)/SUM('1、课程目标与考核方式'!$C$3:$G$3)</f>
        <v>0</v>
      </c>
      <c r="AB72">
        <f>'3、期末成绩'!C72/'2、试卷（期末题目-课程目标）'!$C$2</f>
        <v>0</v>
      </c>
      <c r="AC72">
        <f>'3、期末成绩'!D72/'2、试卷（期末题目-课程目标）'!$C$3</f>
        <v>0</v>
      </c>
    </row>
    <row r="73" spans="10:29">
      <c r="J73" s="243" t="str">
        <f>IF(ISBLANK('3、期末成绩'!A73)," ",'3、期末成绩'!A73)</f>
        <v> </v>
      </c>
      <c r="K73" s="244" t="str">
        <f>IF(J73=" "," ",VLOOKUP(J73,'3、期末成绩'!$A$2:$B$201,2,FALSE))</f>
        <v> </v>
      </c>
      <c r="L73">
        <f>0.01*(T73*SUM('1、课程目标与考核方式'!$C$13:$G$13)+AB73*'1、课程目标与考核方式'!$H$13)</f>
        <v>0</v>
      </c>
      <c r="M73">
        <f>0.01*(U73*SUM('1、课程目标与考核方式'!$C$13:$G$13)+AC73*'1、课程目标与考核方式'!$H$13)</f>
        <v>0</v>
      </c>
      <c r="N73">
        <f>0.01*(V73*SUM('1、课程目标与考核方式'!$C$13:$G$13)+AD73*'1、课程目标与考核方式'!$H$13)</f>
        <v>0</v>
      </c>
      <c r="O73">
        <f>0.01*(W73*SUM('1、课程目标与考核方式'!$C$13:$G$13)+AE73*'1、课程目标与考核方式'!$H$13)</f>
        <v>0</v>
      </c>
      <c r="P73">
        <f>0.01*(X73*SUM('1、课程目标与考核方式'!$C$13:$G$13)+AF73*'1、课程目标与考核方式'!$H$13)</f>
        <v>0</v>
      </c>
      <c r="Q73">
        <f>0.01*(Y73*SUM('1、课程目标与考核方式'!$C$13:$G$13)+AG73*'1、课程目标与考核方式'!$H$13)</f>
        <v>0</v>
      </c>
      <c r="R73">
        <f>0.01*(Z73*SUM('1、课程目标与考核方式'!$C$13:$G$13)+AH73*'1、课程目标与考核方式'!$H$13)</f>
        <v>0</v>
      </c>
      <c r="S73">
        <f>0.01*(AA73*SUM('1、课程目标与考核方式'!$C$13:$G$13)+AI73*'1、课程目标与考核方式'!$H$13)</f>
        <v>0</v>
      </c>
      <c r="T73">
        <f>('1、课程目标与考核方式'!$C$3*'4、平时成绩'!$C73*0.01+'1、课程目标与考核方式'!$D$3*'4、平时成绩'!$D73*0.01+'1、课程目标与考核方式'!$E$3*'4、平时成绩'!$E73*0.01+'1、课程目标与考核方式'!$F$3*'4、平时成绩'!$F73*0.01+'1、课程目标与考核方式'!$G$3*'4、平时成绩'!$G73*0.01)/SUM('1、课程目标与考核方式'!$C$3:$G$3)</f>
        <v>0</v>
      </c>
      <c r="U73">
        <f>('1、课程目标与考核方式'!$C$4*'4、平时成绩'!$C73*0.01+'1、课程目标与考核方式'!$D$4*'4、平时成绩'!$D73*0.01+'1、课程目标与考核方式'!$E$4*'4、平时成绩'!$E73*0.01+'1、课程目标与考核方式'!$F$4*'4、平时成绩'!$F73*0.01+'1、课程目标与考核方式'!$G$4*'4、平时成绩'!$G73*0.01)/SUM('1、课程目标与考核方式'!$C$3:$G$3)</f>
        <v>0</v>
      </c>
      <c r="V73">
        <f>('1、课程目标与考核方式'!$C$5*'4、平时成绩'!$C73*0.01+'1、课程目标与考核方式'!$D$5*'4、平时成绩'!$D73*0.01+'1、课程目标与考核方式'!$E$5*'4、平时成绩'!$E73*0.01+'1、课程目标与考核方式'!$F$5*'4、平时成绩'!$F73*0.01+'1、课程目标与考核方式'!$G$5*'4、平时成绩'!$G73*0.01)/SUM('1、课程目标与考核方式'!$C$3:$G$3)</f>
        <v>0</v>
      </c>
      <c r="W73">
        <f>('1、课程目标与考核方式'!$C$6*'4、平时成绩'!$C73*0.01+'1、课程目标与考核方式'!$D$6*'4、平时成绩'!$D73*0.01+'1、课程目标与考核方式'!$E$6*'4、平时成绩'!$E73*0.01+'1、课程目标与考核方式'!$F$6*'4、平时成绩'!$F73*0.01+'1、课程目标与考核方式'!$G$6*'4、平时成绩'!$G73*0.01)/SUM('1、课程目标与考核方式'!$C$3:$G$3)</f>
        <v>0</v>
      </c>
      <c r="X73">
        <f>('1、课程目标与考核方式'!$C$7*'4、平时成绩'!$C73*0.01+'1、课程目标与考核方式'!$D$7*'4、平时成绩'!$D73*0.01+'1、课程目标与考核方式'!$E$7*'4、平时成绩'!$E73*0.01+'1、课程目标与考核方式'!$F$7*'4、平时成绩'!$F73*0.01+'1、课程目标与考核方式'!$G$7*'4、平时成绩'!$G73*0.01)/SUM('1、课程目标与考核方式'!$C$3:$G$3)</f>
        <v>0</v>
      </c>
      <c r="Y73">
        <f>('1、课程目标与考核方式'!$C$8*'4、平时成绩'!$C73*0.01+'1、课程目标与考核方式'!$D$8*'4、平时成绩'!$D73*0.01+'1、课程目标与考核方式'!$E$8*'4、平时成绩'!$E73*0.01+'1、课程目标与考核方式'!$F$8*'4、平时成绩'!$F73*0.01+'1、课程目标与考核方式'!$G$8*'4、平时成绩'!$G73*0.01)/SUM('1、课程目标与考核方式'!$C$3:$G$3)</f>
        <v>0</v>
      </c>
      <c r="Z73">
        <f>('1、课程目标与考核方式'!$C$9*'4、平时成绩'!$C73*0.01+'1、课程目标与考核方式'!$D$9*'4、平时成绩'!$D73*0.01+'1、课程目标与考核方式'!$E$9*'4、平时成绩'!$E73*0.01+'1、课程目标与考核方式'!$F$9*'4、平时成绩'!$F73*0.01+'1、课程目标与考核方式'!$G$9*'4、平时成绩'!$G73*0.01)/SUM('1、课程目标与考核方式'!$C$3:$G$3)</f>
        <v>0</v>
      </c>
      <c r="AA73">
        <f>('1、课程目标与考核方式'!$C$10*'4、平时成绩'!$C73*0.01+'1、课程目标与考核方式'!$D$10*'4、平时成绩'!$D73*0.01+'1、课程目标与考核方式'!$E$10*'4、平时成绩'!$E73*0.01+'1、课程目标与考核方式'!$F$10*'4、平时成绩'!$F73*0.01+'1、课程目标与考核方式'!$G$10*'4、平时成绩'!$G73*0.01)/SUM('1、课程目标与考核方式'!$C$3:$G$3)</f>
        <v>0</v>
      </c>
      <c r="AB73">
        <f>'3、期末成绩'!C73/'2、试卷（期末题目-课程目标）'!$C$2</f>
        <v>0</v>
      </c>
      <c r="AC73">
        <f>'3、期末成绩'!D73/'2、试卷（期末题目-课程目标）'!$C$3</f>
        <v>0</v>
      </c>
    </row>
    <row r="74" spans="10:29">
      <c r="J74" s="243" t="str">
        <f>IF(ISBLANK('3、期末成绩'!A74)," ",'3、期末成绩'!A74)</f>
        <v> </v>
      </c>
      <c r="K74" s="244" t="str">
        <f>IF(J74=" "," ",VLOOKUP(J74,'3、期末成绩'!$A$2:$B$201,2,FALSE))</f>
        <v> </v>
      </c>
      <c r="L74">
        <f>0.01*(T74*SUM('1、课程目标与考核方式'!$C$13:$G$13)+AB74*'1、课程目标与考核方式'!$H$13)</f>
        <v>0</v>
      </c>
      <c r="M74">
        <f>0.01*(U74*SUM('1、课程目标与考核方式'!$C$13:$G$13)+AC74*'1、课程目标与考核方式'!$H$13)</f>
        <v>0</v>
      </c>
      <c r="N74">
        <f>0.01*(V74*SUM('1、课程目标与考核方式'!$C$13:$G$13)+AD74*'1、课程目标与考核方式'!$H$13)</f>
        <v>0</v>
      </c>
      <c r="O74">
        <f>0.01*(W74*SUM('1、课程目标与考核方式'!$C$13:$G$13)+AE74*'1、课程目标与考核方式'!$H$13)</f>
        <v>0</v>
      </c>
      <c r="P74">
        <f>0.01*(X74*SUM('1、课程目标与考核方式'!$C$13:$G$13)+AF74*'1、课程目标与考核方式'!$H$13)</f>
        <v>0</v>
      </c>
      <c r="Q74">
        <f>0.01*(Y74*SUM('1、课程目标与考核方式'!$C$13:$G$13)+AG74*'1、课程目标与考核方式'!$H$13)</f>
        <v>0</v>
      </c>
      <c r="R74">
        <f>0.01*(Z74*SUM('1、课程目标与考核方式'!$C$13:$G$13)+AH74*'1、课程目标与考核方式'!$H$13)</f>
        <v>0</v>
      </c>
      <c r="S74">
        <f>0.01*(AA74*SUM('1、课程目标与考核方式'!$C$13:$G$13)+AI74*'1、课程目标与考核方式'!$H$13)</f>
        <v>0</v>
      </c>
      <c r="T74">
        <f>('1、课程目标与考核方式'!$C$3*'4、平时成绩'!$C74*0.01+'1、课程目标与考核方式'!$D$3*'4、平时成绩'!$D74*0.01+'1、课程目标与考核方式'!$E$3*'4、平时成绩'!$E74*0.01+'1、课程目标与考核方式'!$F$3*'4、平时成绩'!$F74*0.01+'1、课程目标与考核方式'!$G$3*'4、平时成绩'!$G74*0.01)/SUM('1、课程目标与考核方式'!$C$3:$G$3)</f>
        <v>0</v>
      </c>
      <c r="U74">
        <f>('1、课程目标与考核方式'!$C$4*'4、平时成绩'!$C74*0.01+'1、课程目标与考核方式'!$D$4*'4、平时成绩'!$D74*0.01+'1、课程目标与考核方式'!$E$4*'4、平时成绩'!$E74*0.01+'1、课程目标与考核方式'!$F$4*'4、平时成绩'!$F74*0.01+'1、课程目标与考核方式'!$G$4*'4、平时成绩'!$G74*0.01)/SUM('1、课程目标与考核方式'!$C$3:$G$3)</f>
        <v>0</v>
      </c>
      <c r="V74">
        <f>('1、课程目标与考核方式'!$C$5*'4、平时成绩'!$C74*0.01+'1、课程目标与考核方式'!$D$5*'4、平时成绩'!$D74*0.01+'1、课程目标与考核方式'!$E$5*'4、平时成绩'!$E74*0.01+'1、课程目标与考核方式'!$F$5*'4、平时成绩'!$F74*0.01+'1、课程目标与考核方式'!$G$5*'4、平时成绩'!$G74*0.01)/SUM('1、课程目标与考核方式'!$C$3:$G$3)</f>
        <v>0</v>
      </c>
      <c r="W74">
        <f>('1、课程目标与考核方式'!$C$6*'4、平时成绩'!$C74*0.01+'1、课程目标与考核方式'!$D$6*'4、平时成绩'!$D74*0.01+'1、课程目标与考核方式'!$E$6*'4、平时成绩'!$E74*0.01+'1、课程目标与考核方式'!$F$6*'4、平时成绩'!$F74*0.01+'1、课程目标与考核方式'!$G$6*'4、平时成绩'!$G74*0.01)/SUM('1、课程目标与考核方式'!$C$3:$G$3)</f>
        <v>0</v>
      </c>
      <c r="X74">
        <f>('1、课程目标与考核方式'!$C$7*'4、平时成绩'!$C74*0.01+'1、课程目标与考核方式'!$D$7*'4、平时成绩'!$D74*0.01+'1、课程目标与考核方式'!$E$7*'4、平时成绩'!$E74*0.01+'1、课程目标与考核方式'!$F$7*'4、平时成绩'!$F74*0.01+'1、课程目标与考核方式'!$G$7*'4、平时成绩'!$G74*0.01)/SUM('1、课程目标与考核方式'!$C$3:$G$3)</f>
        <v>0</v>
      </c>
      <c r="Y74">
        <f>('1、课程目标与考核方式'!$C$8*'4、平时成绩'!$C74*0.01+'1、课程目标与考核方式'!$D$8*'4、平时成绩'!$D74*0.01+'1、课程目标与考核方式'!$E$8*'4、平时成绩'!$E74*0.01+'1、课程目标与考核方式'!$F$8*'4、平时成绩'!$F74*0.01+'1、课程目标与考核方式'!$G$8*'4、平时成绩'!$G74*0.01)/SUM('1、课程目标与考核方式'!$C$3:$G$3)</f>
        <v>0</v>
      </c>
      <c r="Z74">
        <f>('1、课程目标与考核方式'!$C$9*'4、平时成绩'!$C74*0.01+'1、课程目标与考核方式'!$D$9*'4、平时成绩'!$D74*0.01+'1、课程目标与考核方式'!$E$9*'4、平时成绩'!$E74*0.01+'1、课程目标与考核方式'!$F$9*'4、平时成绩'!$F74*0.01+'1、课程目标与考核方式'!$G$9*'4、平时成绩'!$G74*0.01)/SUM('1、课程目标与考核方式'!$C$3:$G$3)</f>
        <v>0</v>
      </c>
      <c r="AA74">
        <f>('1、课程目标与考核方式'!$C$10*'4、平时成绩'!$C74*0.01+'1、课程目标与考核方式'!$D$10*'4、平时成绩'!$D74*0.01+'1、课程目标与考核方式'!$E$10*'4、平时成绩'!$E74*0.01+'1、课程目标与考核方式'!$F$10*'4、平时成绩'!$F74*0.01+'1、课程目标与考核方式'!$G$10*'4、平时成绩'!$G74*0.01)/SUM('1、课程目标与考核方式'!$C$3:$G$3)</f>
        <v>0</v>
      </c>
      <c r="AB74">
        <f>'3、期末成绩'!C74/'2、试卷（期末题目-课程目标）'!$C$2</f>
        <v>0</v>
      </c>
      <c r="AC74">
        <f>'3、期末成绩'!D74/'2、试卷（期末题目-课程目标）'!$C$3</f>
        <v>0</v>
      </c>
    </row>
    <row r="75" spans="10:29">
      <c r="J75" s="243" t="str">
        <f>IF(ISBLANK('3、期末成绩'!A75)," ",'3、期末成绩'!A75)</f>
        <v> </v>
      </c>
      <c r="K75" s="244" t="str">
        <f>IF(J75=" "," ",VLOOKUP(J75,'3、期末成绩'!$A$2:$B$201,2,FALSE))</f>
        <v> </v>
      </c>
      <c r="L75">
        <f>0.01*(T75*SUM('1、课程目标与考核方式'!$C$13:$G$13)+AB75*'1、课程目标与考核方式'!$H$13)</f>
        <v>0</v>
      </c>
      <c r="M75">
        <f>0.01*(U75*SUM('1、课程目标与考核方式'!$C$13:$G$13)+AC75*'1、课程目标与考核方式'!$H$13)</f>
        <v>0</v>
      </c>
      <c r="N75">
        <f>0.01*(V75*SUM('1、课程目标与考核方式'!$C$13:$G$13)+AD75*'1、课程目标与考核方式'!$H$13)</f>
        <v>0</v>
      </c>
      <c r="O75">
        <f>0.01*(W75*SUM('1、课程目标与考核方式'!$C$13:$G$13)+AE75*'1、课程目标与考核方式'!$H$13)</f>
        <v>0</v>
      </c>
      <c r="P75">
        <f>0.01*(X75*SUM('1、课程目标与考核方式'!$C$13:$G$13)+AF75*'1、课程目标与考核方式'!$H$13)</f>
        <v>0</v>
      </c>
      <c r="Q75">
        <f>0.01*(Y75*SUM('1、课程目标与考核方式'!$C$13:$G$13)+AG75*'1、课程目标与考核方式'!$H$13)</f>
        <v>0</v>
      </c>
      <c r="R75">
        <f>0.01*(Z75*SUM('1、课程目标与考核方式'!$C$13:$G$13)+AH75*'1、课程目标与考核方式'!$H$13)</f>
        <v>0</v>
      </c>
      <c r="S75">
        <f>0.01*(AA75*SUM('1、课程目标与考核方式'!$C$13:$G$13)+AI75*'1、课程目标与考核方式'!$H$13)</f>
        <v>0</v>
      </c>
      <c r="T75">
        <f>('1、课程目标与考核方式'!$C$3*'4、平时成绩'!$C75*0.01+'1、课程目标与考核方式'!$D$3*'4、平时成绩'!$D75*0.01+'1、课程目标与考核方式'!$E$3*'4、平时成绩'!$E75*0.01+'1、课程目标与考核方式'!$F$3*'4、平时成绩'!$F75*0.01+'1、课程目标与考核方式'!$G$3*'4、平时成绩'!$G75*0.01)/SUM('1、课程目标与考核方式'!$C$3:$G$3)</f>
        <v>0</v>
      </c>
      <c r="U75">
        <f>('1、课程目标与考核方式'!$C$4*'4、平时成绩'!$C75*0.01+'1、课程目标与考核方式'!$D$4*'4、平时成绩'!$D75*0.01+'1、课程目标与考核方式'!$E$4*'4、平时成绩'!$E75*0.01+'1、课程目标与考核方式'!$F$4*'4、平时成绩'!$F75*0.01+'1、课程目标与考核方式'!$G$4*'4、平时成绩'!$G75*0.01)/SUM('1、课程目标与考核方式'!$C$3:$G$3)</f>
        <v>0</v>
      </c>
      <c r="V75">
        <f>('1、课程目标与考核方式'!$C$5*'4、平时成绩'!$C75*0.01+'1、课程目标与考核方式'!$D$5*'4、平时成绩'!$D75*0.01+'1、课程目标与考核方式'!$E$5*'4、平时成绩'!$E75*0.01+'1、课程目标与考核方式'!$F$5*'4、平时成绩'!$F75*0.01+'1、课程目标与考核方式'!$G$5*'4、平时成绩'!$G75*0.01)/SUM('1、课程目标与考核方式'!$C$3:$G$3)</f>
        <v>0</v>
      </c>
      <c r="W75">
        <f>('1、课程目标与考核方式'!$C$6*'4、平时成绩'!$C75*0.01+'1、课程目标与考核方式'!$D$6*'4、平时成绩'!$D75*0.01+'1、课程目标与考核方式'!$E$6*'4、平时成绩'!$E75*0.01+'1、课程目标与考核方式'!$F$6*'4、平时成绩'!$F75*0.01+'1、课程目标与考核方式'!$G$6*'4、平时成绩'!$G75*0.01)/SUM('1、课程目标与考核方式'!$C$3:$G$3)</f>
        <v>0</v>
      </c>
      <c r="X75">
        <f>('1、课程目标与考核方式'!$C$7*'4、平时成绩'!$C75*0.01+'1、课程目标与考核方式'!$D$7*'4、平时成绩'!$D75*0.01+'1、课程目标与考核方式'!$E$7*'4、平时成绩'!$E75*0.01+'1、课程目标与考核方式'!$F$7*'4、平时成绩'!$F75*0.01+'1、课程目标与考核方式'!$G$7*'4、平时成绩'!$G75*0.01)/SUM('1、课程目标与考核方式'!$C$3:$G$3)</f>
        <v>0</v>
      </c>
      <c r="Y75">
        <f>('1、课程目标与考核方式'!$C$8*'4、平时成绩'!$C75*0.01+'1、课程目标与考核方式'!$D$8*'4、平时成绩'!$D75*0.01+'1、课程目标与考核方式'!$E$8*'4、平时成绩'!$E75*0.01+'1、课程目标与考核方式'!$F$8*'4、平时成绩'!$F75*0.01+'1、课程目标与考核方式'!$G$8*'4、平时成绩'!$G75*0.01)/SUM('1、课程目标与考核方式'!$C$3:$G$3)</f>
        <v>0</v>
      </c>
      <c r="Z75">
        <f>('1、课程目标与考核方式'!$C$9*'4、平时成绩'!$C75*0.01+'1、课程目标与考核方式'!$D$9*'4、平时成绩'!$D75*0.01+'1、课程目标与考核方式'!$E$9*'4、平时成绩'!$E75*0.01+'1、课程目标与考核方式'!$F$9*'4、平时成绩'!$F75*0.01+'1、课程目标与考核方式'!$G$9*'4、平时成绩'!$G75*0.01)/SUM('1、课程目标与考核方式'!$C$3:$G$3)</f>
        <v>0</v>
      </c>
      <c r="AA75">
        <f>('1、课程目标与考核方式'!$C$10*'4、平时成绩'!$C75*0.01+'1、课程目标与考核方式'!$D$10*'4、平时成绩'!$D75*0.01+'1、课程目标与考核方式'!$E$10*'4、平时成绩'!$E75*0.01+'1、课程目标与考核方式'!$F$10*'4、平时成绩'!$F75*0.01+'1、课程目标与考核方式'!$G$10*'4、平时成绩'!$G75*0.01)/SUM('1、课程目标与考核方式'!$C$3:$G$3)</f>
        <v>0</v>
      </c>
      <c r="AB75">
        <f>'3、期末成绩'!C75/'2、试卷（期末题目-课程目标）'!$C$2</f>
        <v>0</v>
      </c>
      <c r="AC75">
        <f>'3、期末成绩'!D75/'2、试卷（期末题目-课程目标）'!$C$3</f>
        <v>0</v>
      </c>
    </row>
    <row r="76" spans="10:29">
      <c r="J76" s="243" t="str">
        <f>IF(ISBLANK('3、期末成绩'!A76)," ",'3、期末成绩'!A76)</f>
        <v> </v>
      </c>
      <c r="K76" s="244" t="str">
        <f>IF(J76=" "," ",VLOOKUP(J76,'3、期末成绩'!$A$2:$B$201,2,FALSE))</f>
        <v> </v>
      </c>
      <c r="L76">
        <f>0.01*(T76*SUM('1、课程目标与考核方式'!$C$13:$G$13)+AB76*'1、课程目标与考核方式'!$H$13)</f>
        <v>0</v>
      </c>
      <c r="M76">
        <f>0.01*(U76*SUM('1、课程目标与考核方式'!$C$13:$G$13)+AC76*'1、课程目标与考核方式'!$H$13)</f>
        <v>0</v>
      </c>
      <c r="N76">
        <f>0.01*(V76*SUM('1、课程目标与考核方式'!$C$13:$G$13)+AD76*'1、课程目标与考核方式'!$H$13)</f>
        <v>0</v>
      </c>
      <c r="O76">
        <f>0.01*(W76*SUM('1、课程目标与考核方式'!$C$13:$G$13)+AE76*'1、课程目标与考核方式'!$H$13)</f>
        <v>0</v>
      </c>
      <c r="P76">
        <f>0.01*(X76*SUM('1、课程目标与考核方式'!$C$13:$G$13)+AF76*'1、课程目标与考核方式'!$H$13)</f>
        <v>0</v>
      </c>
      <c r="Q76">
        <f>0.01*(Y76*SUM('1、课程目标与考核方式'!$C$13:$G$13)+AG76*'1、课程目标与考核方式'!$H$13)</f>
        <v>0</v>
      </c>
      <c r="R76">
        <f>0.01*(Z76*SUM('1、课程目标与考核方式'!$C$13:$G$13)+AH76*'1、课程目标与考核方式'!$H$13)</f>
        <v>0</v>
      </c>
      <c r="S76">
        <f>0.01*(AA76*SUM('1、课程目标与考核方式'!$C$13:$G$13)+AI76*'1、课程目标与考核方式'!$H$13)</f>
        <v>0</v>
      </c>
      <c r="T76">
        <f>('1、课程目标与考核方式'!$C$3*'4、平时成绩'!$C76*0.01+'1、课程目标与考核方式'!$D$3*'4、平时成绩'!$D76*0.01+'1、课程目标与考核方式'!$E$3*'4、平时成绩'!$E76*0.01+'1、课程目标与考核方式'!$F$3*'4、平时成绩'!$F76*0.01+'1、课程目标与考核方式'!$G$3*'4、平时成绩'!$G76*0.01)/SUM('1、课程目标与考核方式'!$C$3:$G$3)</f>
        <v>0</v>
      </c>
      <c r="U76">
        <f>('1、课程目标与考核方式'!$C$4*'4、平时成绩'!$C76*0.01+'1、课程目标与考核方式'!$D$4*'4、平时成绩'!$D76*0.01+'1、课程目标与考核方式'!$E$4*'4、平时成绩'!$E76*0.01+'1、课程目标与考核方式'!$F$4*'4、平时成绩'!$F76*0.01+'1、课程目标与考核方式'!$G$4*'4、平时成绩'!$G76*0.01)/SUM('1、课程目标与考核方式'!$C$3:$G$3)</f>
        <v>0</v>
      </c>
      <c r="V76">
        <f>('1、课程目标与考核方式'!$C$5*'4、平时成绩'!$C76*0.01+'1、课程目标与考核方式'!$D$5*'4、平时成绩'!$D76*0.01+'1、课程目标与考核方式'!$E$5*'4、平时成绩'!$E76*0.01+'1、课程目标与考核方式'!$F$5*'4、平时成绩'!$F76*0.01+'1、课程目标与考核方式'!$G$5*'4、平时成绩'!$G76*0.01)/SUM('1、课程目标与考核方式'!$C$3:$G$3)</f>
        <v>0</v>
      </c>
      <c r="W76">
        <f>('1、课程目标与考核方式'!$C$6*'4、平时成绩'!$C76*0.01+'1、课程目标与考核方式'!$D$6*'4、平时成绩'!$D76*0.01+'1、课程目标与考核方式'!$E$6*'4、平时成绩'!$E76*0.01+'1、课程目标与考核方式'!$F$6*'4、平时成绩'!$F76*0.01+'1、课程目标与考核方式'!$G$6*'4、平时成绩'!$G76*0.01)/SUM('1、课程目标与考核方式'!$C$3:$G$3)</f>
        <v>0</v>
      </c>
      <c r="X76">
        <f>('1、课程目标与考核方式'!$C$7*'4、平时成绩'!$C76*0.01+'1、课程目标与考核方式'!$D$7*'4、平时成绩'!$D76*0.01+'1、课程目标与考核方式'!$E$7*'4、平时成绩'!$E76*0.01+'1、课程目标与考核方式'!$F$7*'4、平时成绩'!$F76*0.01+'1、课程目标与考核方式'!$G$7*'4、平时成绩'!$G76*0.01)/SUM('1、课程目标与考核方式'!$C$3:$G$3)</f>
        <v>0</v>
      </c>
      <c r="Y76">
        <f>('1、课程目标与考核方式'!$C$8*'4、平时成绩'!$C76*0.01+'1、课程目标与考核方式'!$D$8*'4、平时成绩'!$D76*0.01+'1、课程目标与考核方式'!$E$8*'4、平时成绩'!$E76*0.01+'1、课程目标与考核方式'!$F$8*'4、平时成绩'!$F76*0.01+'1、课程目标与考核方式'!$G$8*'4、平时成绩'!$G76*0.01)/SUM('1、课程目标与考核方式'!$C$3:$G$3)</f>
        <v>0</v>
      </c>
      <c r="Z76">
        <f>('1、课程目标与考核方式'!$C$9*'4、平时成绩'!$C76*0.01+'1、课程目标与考核方式'!$D$9*'4、平时成绩'!$D76*0.01+'1、课程目标与考核方式'!$E$9*'4、平时成绩'!$E76*0.01+'1、课程目标与考核方式'!$F$9*'4、平时成绩'!$F76*0.01+'1、课程目标与考核方式'!$G$9*'4、平时成绩'!$G76*0.01)/SUM('1、课程目标与考核方式'!$C$3:$G$3)</f>
        <v>0</v>
      </c>
      <c r="AA76">
        <f>('1、课程目标与考核方式'!$C$10*'4、平时成绩'!$C76*0.01+'1、课程目标与考核方式'!$D$10*'4、平时成绩'!$D76*0.01+'1、课程目标与考核方式'!$E$10*'4、平时成绩'!$E76*0.01+'1、课程目标与考核方式'!$F$10*'4、平时成绩'!$F76*0.01+'1、课程目标与考核方式'!$G$10*'4、平时成绩'!$G76*0.01)/SUM('1、课程目标与考核方式'!$C$3:$G$3)</f>
        <v>0</v>
      </c>
      <c r="AB76">
        <f>'3、期末成绩'!C76/'2、试卷（期末题目-课程目标）'!$C$2</f>
        <v>0</v>
      </c>
      <c r="AC76">
        <f>'3、期末成绩'!D76/'2、试卷（期末题目-课程目标）'!$C$3</f>
        <v>0</v>
      </c>
    </row>
    <row r="77" spans="10:29">
      <c r="J77" s="243" t="str">
        <f>IF(ISBLANK('3、期末成绩'!A77)," ",'3、期末成绩'!A77)</f>
        <v> </v>
      </c>
      <c r="K77" s="244" t="str">
        <f>IF(J77=" "," ",VLOOKUP(J77,'3、期末成绩'!$A$2:$B$201,2,FALSE))</f>
        <v> </v>
      </c>
      <c r="L77">
        <f>0.01*(T77*SUM('1、课程目标与考核方式'!$C$13:$G$13)+AB77*'1、课程目标与考核方式'!$H$13)</f>
        <v>0</v>
      </c>
      <c r="M77">
        <f>0.01*(U77*SUM('1、课程目标与考核方式'!$C$13:$G$13)+AC77*'1、课程目标与考核方式'!$H$13)</f>
        <v>0</v>
      </c>
      <c r="N77">
        <f>0.01*(V77*SUM('1、课程目标与考核方式'!$C$13:$G$13)+AD77*'1、课程目标与考核方式'!$H$13)</f>
        <v>0</v>
      </c>
      <c r="O77">
        <f>0.01*(W77*SUM('1、课程目标与考核方式'!$C$13:$G$13)+AE77*'1、课程目标与考核方式'!$H$13)</f>
        <v>0</v>
      </c>
      <c r="P77">
        <f>0.01*(X77*SUM('1、课程目标与考核方式'!$C$13:$G$13)+AF77*'1、课程目标与考核方式'!$H$13)</f>
        <v>0</v>
      </c>
      <c r="Q77">
        <f>0.01*(Y77*SUM('1、课程目标与考核方式'!$C$13:$G$13)+AG77*'1、课程目标与考核方式'!$H$13)</f>
        <v>0</v>
      </c>
      <c r="R77">
        <f>0.01*(Z77*SUM('1、课程目标与考核方式'!$C$13:$G$13)+AH77*'1、课程目标与考核方式'!$H$13)</f>
        <v>0</v>
      </c>
      <c r="S77">
        <f>0.01*(AA77*SUM('1、课程目标与考核方式'!$C$13:$G$13)+AI77*'1、课程目标与考核方式'!$H$13)</f>
        <v>0</v>
      </c>
      <c r="T77">
        <f>('1、课程目标与考核方式'!$C$3*'4、平时成绩'!$C77*0.01+'1、课程目标与考核方式'!$D$3*'4、平时成绩'!$D77*0.01+'1、课程目标与考核方式'!$E$3*'4、平时成绩'!$E77*0.01+'1、课程目标与考核方式'!$F$3*'4、平时成绩'!$F77*0.01+'1、课程目标与考核方式'!$G$3*'4、平时成绩'!$G77*0.01)/SUM('1、课程目标与考核方式'!$C$3:$G$3)</f>
        <v>0</v>
      </c>
      <c r="U77">
        <f>('1、课程目标与考核方式'!$C$4*'4、平时成绩'!$C77*0.01+'1、课程目标与考核方式'!$D$4*'4、平时成绩'!$D77*0.01+'1、课程目标与考核方式'!$E$4*'4、平时成绩'!$E77*0.01+'1、课程目标与考核方式'!$F$4*'4、平时成绩'!$F77*0.01+'1、课程目标与考核方式'!$G$4*'4、平时成绩'!$G77*0.01)/SUM('1、课程目标与考核方式'!$C$3:$G$3)</f>
        <v>0</v>
      </c>
      <c r="V77">
        <f>('1、课程目标与考核方式'!$C$5*'4、平时成绩'!$C77*0.01+'1、课程目标与考核方式'!$D$5*'4、平时成绩'!$D77*0.01+'1、课程目标与考核方式'!$E$5*'4、平时成绩'!$E77*0.01+'1、课程目标与考核方式'!$F$5*'4、平时成绩'!$F77*0.01+'1、课程目标与考核方式'!$G$5*'4、平时成绩'!$G77*0.01)/SUM('1、课程目标与考核方式'!$C$3:$G$3)</f>
        <v>0</v>
      </c>
      <c r="W77">
        <f>('1、课程目标与考核方式'!$C$6*'4、平时成绩'!$C77*0.01+'1、课程目标与考核方式'!$D$6*'4、平时成绩'!$D77*0.01+'1、课程目标与考核方式'!$E$6*'4、平时成绩'!$E77*0.01+'1、课程目标与考核方式'!$F$6*'4、平时成绩'!$F77*0.01+'1、课程目标与考核方式'!$G$6*'4、平时成绩'!$G77*0.01)/SUM('1、课程目标与考核方式'!$C$3:$G$3)</f>
        <v>0</v>
      </c>
      <c r="X77">
        <f>('1、课程目标与考核方式'!$C$7*'4、平时成绩'!$C77*0.01+'1、课程目标与考核方式'!$D$7*'4、平时成绩'!$D77*0.01+'1、课程目标与考核方式'!$E$7*'4、平时成绩'!$E77*0.01+'1、课程目标与考核方式'!$F$7*'4、平时成绩'!$F77*0.01+'1、课程目标与考核方式'!$G$7*'4、平时成绩'!$G77*0.01)/SUM('1、课程目标与考核方式'!$C$3:$G$3)</f>
        <v>0</v>
      </c>
      <c r="Y77">
        <f>('1、课程目标与考核方式'!$C$8*'4、平时成绩'!$C77*0.01+'1、课程目标与考核方式'!$D$8*'4、平时成绩'!$D77*0.01+'1、课程目标与考核方式'!$E$8*'4、平时成绩'!$E77*0.01+'1、课程目标与考核方式'!$F$8*'4、平时成绩'!$F77*0.01+'1、课程目标与考核方式'!$G$8*'4、平时成绩'!$G77*0.01)/SUM('1、课程目标与考核方式'!$C$3:$G$3)</f>
        <v>0</v>
      </c>
      <c r="Z77">
        <f>('1、课程目标与考核方式'!$C$9*'4、平时成绩'!$C77*0.01+'1、课程目标与考核方式'!$D$9*'4、平时成绩'!$D77*0.01+'1、课程目标与考核方式'!$E$9*'4、平时成绩'!$E77*0.01+'1、课程目标与考核方式'!$F$9*'4、平时成绩'!$F77*0.01+'1、课程目标与考核方式'!$G$9*'4、平时成绩'!$G77*0.01)/SUM('1、课程目标与考核方式'!$C$3:$G$3)</f>
        <v>0</v>
      </c>
      <c r="AA77">
        <f>('1、课程目标与考核方式'!$C$10*'4、平时成绩'!$C77*0.01+'1、课程目标与考核方式'!$D$10*'4、平时成绩'!$D77*0.01+'1、课程目标与考核方式'!$E$10*'4、平时成绩'!$E77*0.01+'1、课程目标与考核方式'!$F$10*'4、平时成绩'!$F77*0.01+'1、课程目标与考核方式'!$G$10*'4、平时成绩'!$G77*0.01)/SUM('1、课程目标与考核方式'!$C$3:$G$3)</f>
        <v>0</v>
      </c>
      <c r="AB77">
        <f>'3、期末成绩'!C77/'2、试卷（期末题目-课程目标）'!$C$2</f>
        <v>0</v>
      </c>
      <c r="AC77">
        <f>'3、期末成绩'!D77/'2、试卷（期末题目-课程目标）'!$C$3</f>
        <v>0</v>
      </c>
    </row>
    <row r="78" spans="10:29">
      <c r="J78" s="243" t="str">
        <f>IF(ISBLANK('3、期末成绩'!A78)," ",'3、期末成绩'!A78)</f>
        <v> </v>
      </c>
      <c r="K78" s="244" t="str">
        <f>IF(J78=" "," ",VLOOKUP(J78,'3、期末成绩'!$A$2:$B$201,2,FALSE))</f>
        <v> </v>
      </c>
      <c r="L78">
        <f>0.01*(T78*SUM('1、课程目标与考核方式'!$C$13:$G$13)+AB78*'1、课程目标与考核方式'!$H$13)</f>
        <v>0</v>
      </c>
      <c r="M78">
        <f>0.01*(U78*SUM('1、课程目标与考核方式'!$C$13:$G$13)+AC78*'1、课程目标与考核方式'!$H$13)</f>
        <v>0</v>
      </c>
      <c r="N78">
        <f>0.01*(V78*SUM('1、课程目标与考核方式'!$C$13:$G$13)+AD78*'1、课程目标与考核方式'!$H$13)</f>
        <v>0</v>
      </c>
      <c r="O78">
        <f>0.01*(W78*SUM('1、课程目标与考核方式'!$C$13:$G$13)+AE78*'1、课程目标与考核方式'!$H$13)</f>
        <v>0</v>
      </c>
      <c r="P78">
        <f>0.01*(X78*SUM('1、课程目标与考核方式'!$C$13:$G$13)+AF78*'1、课程目标与考核方式'!$H$13)</f>
        <v>0</v>
      </c>
      <c r="Q78">
        <f>0.01*(Y78*SUM('1、课程目标与考核方式'!$C$13:$G$13)+AG78*'1、课程目标与考核方式'!$H$13)</f>
        <v>0</v>
      </c>
      <c r="R78">
        <f>0.01*(Z78*SUM('1、课程目标与考核方式'!$C$13:$G$13)+AH78*'1、课程目标与考核方式'!$H$13)</f>
        <v>0</v>
      </c>
      <c r="S78">
        <f>0.01*(AA78*SUM('1、课程目标与考核方式'!$C$13:$G$13)+AI78*'1、课程目标与考核方式'!$H$13)</f>
        <v>0</v>
      </c>
      <c r="T78">
        <f>('1、课程目标与考核方式'!$C$3*'4、平时成绩'!$C78*0.01+'1、课程目标与考核方式'!$D$3*'4、平时成绩'!$D78*0.01+'1、课程目标与考核方式'!$E$3*'4、平时成绩'!$E78*0.01+'1、课程目标与考核方式'!$F$3*'4、平时成绩'!$F78*0.01+'1、课程目标与考核方式'!$G$3*'4、平时成绩'!$G78*0.01)/SUM('1、课程目标与考核方式'!$C$3:$G$3)</f>
        <v>0</v>
      </c>
      <c r="U78">
        <f>('1、课程目标与考核方式'!$C$4*'4、平时成绩'!$C78*0.01+'1、课程目标与考核方式'!$D$4*'4、平时成绩'!$D78*0.01+'1、课程目标与考核方式'!$E$4*'4、平时成绩'!$E78*0.01+'1、课程目标与考核方式'!$F$4*'4、平时成绩'!$F78*0.01+'1、课程目标与考核方式'!$G$4*'4、平时成绩'!$G78*0.01)/SUM('1、课程目标与考核方式'!$C$3:$G$3)</f>
        <v>0</v>
      </c>
      <c r="V78">
        <f>('1、课程目标与考核方式'!$C$5*'4、平时成绩'!$C78*0.01+'1、课程目标与考核方式'!$D$5*'4、平时成绩'!$D78*0.01+'1、课程目标与考核方式'!$E$5*'4、平时成绩'!$E78*0.01+'1、课程目标与考核方式'!$F$5*'4、平时成绩'!$F78*0.01+'1、课程目标与考核方式'!$G$5*'4、平时成绩'!$G78*0.01)/SUM('1、课程目标与考核方式'!$C$3:$G$3)</f>
        <v>0</v>
      </c>
      <c r="W78">
        <f>('1、课程目标与考核方式'!$C$6*'4、平时成绩'!$C78*0.01+'1、课程目标与考核方式'!$D$6*'4、平时成绩'!$D78*0.01+'1、课程目标与考核方式'!$E$6*'4、平时成绩'!$E78*0.01+'1、课程目标与考核方式'!$F$6*'4、平时成绩'!$F78*0.01+'1、课程目标与考核方式'!$G$6*'4、平时成绩'!$G78*0.01)/SUM('1、课程目标与考核方式'!$C$3:$G$3)</f>
        <v>0</v>
      </c>
      <c r="X78">
        <f>('1、课程目标与考核方式'!$C$7*'4、平时成绩'!$C78*0.01+'1、课程目标与考核方式'!$D$7*'4、平时成绩'!$D78*0.01+'1、课程目标与考核方式'!$E$7*'4、平时成绩'!$E78*0.01+'1、课程目标与考核方式'!$F$7*'4、平时成绩'!$F78*0.01+'1、课程目标与考核方式'!$G$7*'4、平时成绩'!$G78*0.01)/SUM('1、课程目标与考核方式'!$C$3:$G$3)</f>
        <v>0</v>
      </c>
      <c r="Y78">
        <f>('1、课程目标与考核方式'!$C$8*'4、平时成绩'!$C78*0.01+'1、课程目标与考核方式'!$D$8*'4、平时成绩'!$D78*0.01+'1、课程目标与考核方式'!$E$8*'4、平时成绩'!$E78*0.01+'1、课程目标与考核方式'!$F$8*'4、平时成绩'!$F78*0.01+'1、课程目标与考核方式'!$G$8*'4、平时成绩'!$G78*0.01)/SUM('1、课程目标与考核方式'!$C$3:$G$3)</f>
        <v>0</v>
      </c>
      <c r="Z78">
        <f>('1、课程目标与考核方式'!$C$9*'4、平时成绩'!$C78*0.01+'1、课程目标与考核方式'!$D$9*'4、平时成绩'!$D78*0.01+'1、课程目标与考核方式'!$E$9*'4、平时成绩'!$E78*0.01+'1、课程目标与考核方式'!$F$9*'4、平时成绩'!$F78*0.01+'1、课程目标与考核方式'!$G$9*'4、平时成绩'!$G78*0.01)/SUM('1、课程目标与考核方式'!$C$3:$G$3)</f>
        <v>0</v>
      </c>
      <c r="AA78">
        <f>('1、课程目标与考核方式'!$C$10*'4、平时成绩'!$C78*0.01+'1、课程目标与考核方式'!$D$10*'4、平时成绩'!$D78*0.01+'1、课程目标与考核方式'!$E$10*'4、平时成绩'!$E78*0.01+'1、课程目标与考核方式'!$F$10*'4、平时成绩'!$F78*0.01+'1、课程目标与考核方式'!$G$10*'4、平时成绩'!$G78*0.01)/SUM('1、课程目标与考核方式'!$C$3:$G$3)</f>
        <v>0</v>
      </c>
      <c r="AB78">
        <f>'3、期末成绩'!C78/'2、试卷（期末题目-课程目标）'!$C$2</f>
        <v>0</v>
      </c>
      <c r="AC78">
        <f>'3、期末成绩'!D78/'2、试卷（期末题目-课程目标）'!$C$3</f>
        <v>0</v>
      </c>
    </row>
    <row r="79" spans="10:29">
      <c r="J79" s="243" t="str">
        <f>IF(ISBLANK('3、期末成绩'!A79)," ",'3、期末成绩'!A79)</f>
        <v> </v>
      </c>
      <c r="K79" s="244" t="str">
        <f>IF(J79=" "," ",VLOOKUP(J79,'3、期末成绩'!$A$2:$B$201,2,FALSE))</f>
        <v> </v>
      </c>
      <c r="L79">
        <f>0.01*(T79*SUM('1、课程目标与考核方式'!$C$13:$G$13)+AB79*'1、课程目标与考核方式'!$H$13)</f>
        <v>0</v>
      </c>
      <c r="M79">
        <f>0.01*(U79*SUM('1、课程目标与考核方式'!$C$13:$G$13)+AC79*'1、课程目标与考核方式'!$H$13)</f>
        <v>0</v>
      </c>
      <c r="N79">
        <f>0.01*(V79*SUM('1、课程目标与考核方式'!$C$13:$G$13)+AD79*'1、课程目标与考核方式'!$H$13)</f>
        <v>0</v>
      </c>
      <c r="O79">
        <f>0.01*(W79*SUM('1、课程目标与考核方式'!$C$13:$G$13)+AE79*'1、课程目标与考核方式'!$H$13)</f>
        <v>0</v>
      </c>
      <c r="P79">
        <f>0.01*(X79*SUM('1、课程目标与考核方式'!$C$13:$G$13)+AF79*'1、课程目标与考核方式'!$H$13)</f>
        <v>0</v>
      </c>
      <c r="Q79">
        <f>0.01*(Y79*SUM('1、课程目标与考核方式'!$C$13:$G$13)+AG79*'1、课程目标与考核方式'!$H$13)</f>
        <v>0</v>
      </c>
      <c r="R79">
        <f>0.01*(Z79*SUM('1、课程目标与考核方式'!$C$13:$G$13)+AH79*'1、课程目标与考核方式'!$H$13)</f>
        <v>0</v>
      </c>
      <c r="S79">
        <f>0.01*(AA79*SUM('1、课程目标与考核方式'!$C$13:$G$13)+AI79*'1、课程目标与考核方式'!$H$13)</f>
        <v>0</v>
      </c>
      <c r="T79">
        <f>('1、课程目标与考核方式'!$C$3*'4、平时成绩'!$C79*0.01+'1、课程目标与考核方式'!$D$3*'4、平时成绩'!$D79*0.01+'1、课程目标与考核方式'!$E$3*'4、平时成绩'!$E79*0.01+'1、课程目标与考核方式'!$F$3*'4、平时成绩'!$F79*0.01+'1、课程目标与考核方式'!$G$3*'4、平时成绩'!$G79*0.01)/SUM('1、课程目标与考核方式'!$C$3:$G$3)</f>
        <v>0</v>
      </c>
      <c r="U79">
        <f>('1、课程目标与考核方式'!$C$4*'4、平时成绩'!$C79*0.01+'1、课程目标与考核方式'!$D$4*'4、平时成绩'!$D79*0.01+'1、课程目标与考核方式'!$E$4*'4、平时成绩'!$E79*0.01+'1、课程目标与考核方式'!$F$4*'4、平时成绩'!$F79*0.01+'1、课程目标与考核方式'!$G$4*'4、平时成绩'!$G79*0.01)/SUM('1、课程目标与考核方式'!$C$3:$G$3)</f>
        <v>0</v>
      </c>
      <c r="V79">
        <f>('1、课程目标与考核方式'!$C$5*'4、平时成绩'!$C79*0.01+'1、课程目标与考核方式'!$D$5*'4、平时成绩'!$D79*0.01+'1、课程目标与考核方式'!$E$5*'4、平时成绩'!$E79*0.01+'1、课程目标与考核方式'!$F$5*'4、平时成绩'!$F79*0.01+'1、课程目标与考核方式'!$G$5*'4、平时成绩'!$G79*0.01)/SUM('1、课程目标与考核方式'!$C$3:$G$3)</f>
        <v>0</v>
      </c>
      <c r="W79">
        <f>('1、课程目标与考核方式'!$C$6*'4、平时成绩'!$C79*0.01+'1、课程目标与考核方式'!$D$6*'4、平时成绩'!$D79*0.01+'1、课程目标与考核方式'!$E$6*'4、平时成绩'!$E79*0.01+'1、课程目标与考核方式'!$F$6*'4、平时成绩'!$F79*0.01+'1、课程目标与考核方式'!$G$6*'4、平时成绩'!$G79*0.01)/SUM('1、课程目标与考核方式'!$C$3:$G$3)</f>
        <v>0</v>
      </c>
      <c r="X79">
        <f>('1、课程目标与考核方式'!$C$7*'4、平时成绩'!$C79*0.01+'1、课程目标与考核方式'!$D$7*'4、平时成绩'!$D79*0.01+'1、课程目标与考核方式'!$E$7*'4、平时成绩'!$E79*0.01+'1、课程目标与考核方式'!$F$7*'4、平时成绩'!$F79*0.01+'1、课程目标与考核方式'!$G$7*'4、平时成绩'!$G79*0.01)/SUM('1、课程目标与考核方式'!$C$3:$G$3)</f>
        <v>0</v>
      </c>
      <c r="Y79">
        <f>('1、课程目标与考核方式'!$C$8*'4、平时成绩'!$C79*0.01+'1、课程目标与考核方式'!$D$8*'4、平时成绩'!$D79*0.01+'1、课程目标与考核方式'!$E$8*'4、平时成绩'!$E79*0.01+'1、课程目标与考核方式'!$F$8*'4、平时成绩'!$F79*0.01+'1、课程目标与考核方式'!$G$8*'4、平时成绩'!$G79*0.01)/SUM('1、课程目标与考核方式'!$C$3:$G$3)</f>
        <v>0</v>
      </c>
      <c r="Z79">
        <f>('1、课程目标与考核方式'!$C$9*'4、平时成绩'!$C79*0.01+'1、课程目标与考核方式'!$D$9*'4、平时成绩'!$D79*0.01+'1、课程目标与考核方式'!$E$9*'4、平时成绩'!$E79*0.01+'1、课程目标与考核方式'!$F$9*'4、平时成绩'!$F79*0.01+'1、课程目标与考核方式'!$G$9*'4、平时成绩'!$G79*0.01)/SUM('1、课程目标与考核方式'!$C$3:$G$3)</f>
        <v>0</v>
      </c>
      <c r="AA79">
        <f>('1、课程目标与考核方式'!$C$10*'4、平时成绩'!$C79*0.01+'1、课程目标与考核方式'!$D$10*'4、平时成绩'!$D79*0.01+'1、课程目标与考核方式'!$E$10*'4、平时成绩'!$E79*0.01+'1、课程目标与考核方式'!$F$10*'4、平时成绩'!$F79*0.01+'1、课程目标与考核方式'!$G$10*'4、平时成绩'!$G79*0.01)/SUM('1、课程目标与考核方式'!$C$3:$G$3)</f>
        <v>0</v>
      </c>
      <c r="AB79">
        <f>'3、期末成绩'!C79/'2、试卷（期末题目-课程目标）'!$C$2</f>
        <v>0</v>
      </c>
      <c r="AC79">
        <f>'3、期末成绩'!D79/'2、试卷（期末题目-课程目标）'!$C$3</f>
        <v>0</v>
      </c>
    </row>
    <row r="80" spans="10:29">
      <c r="J80" s="243" t="str">
        <f>IF(ISBLANK('3、期末成绩'!A80)," ",'3、期末成绩'!A80)</f>
        <v> </v>
      </c>
      <c r="K80" s="244" t="str">
        <f>IF(J80=" "," ",VLOOKUP(J80,'3、期末成绩'!$A$2:$B$201,2,FALSE))</f>
        <v> </v>
      </c>
      <c r="L80">
        <f>0.01*(T80*SUM('1、课程目标与考核方式'!$C$13:$G$13)+AB80*'1、课程目标与考核方式'!$H$13)</f>
        <v>0</v>
      </c>
      <c r="M80">
        <f>0.01*(U80*SUM('1、课程目标与考核方式'!$C$13:$G$13)+AC80*'1、课程目标与考核方式'!$H$13)</f>
        <v>0</v>
      </c>
      <c r="N80">
        <f>0.01*(V80*SUM('1、课程目标与考核方式'!$C$13:$G$13)+AD80*'1、课程目标与考核方式'!$H$13)</f>
        <v>0</v>
      </c>
      <c r="O80">
        <f>0.01*(W80*SUM('1、课程目标与考核方式'!$C$13:$G$13)+AE80*'1、课程目标与考核方式'!$H$13)</f>
        <v>0</v>
      </c>
      <c r="P80">
        <f>0.01*(X80*SUM('1、课程目标与考核方式'!$C$13:$G$13)+AF80*'1、课程目标与考核方式'!$H$13)</f>
        <v>0</v>
      </c>
      <c r="Q80">
        <f>0.01*(Y80*SUM('1、课程目标与考核方式'!$C$13:$G$13)+AG80*'1、课程目标与考核方式'!$H$13)</f>
        <v>0</v>
      </c>
      <c r="R80">
        <f>0.01*(Z80*SUM('1、课程目标与考核方式'!$C$13:$G$13)+AH80*'1、课程目标与考核方式'!$H$13)</f>
        <v>0</v>
      </c>
      <c r="S80">
        <f>0.01*(AA80*SUM('1、课程目标与考核方式'!$C$13:$G$13)+AI80*'1、课程目标与考核方式'!$H$13)</f>
        <v>0</v>
      </c>
      <c r="T80">
        <f>('1、课程目标与考核方式'!$C$3*'4、平时成绩'!$C80*0.01+'1、课程目标与考核方式'!$D$3*'4、平时成绩'!$D80*0.01+'1、课程目标与考核方式'!$E$3*'4、平时成绩'!$E80*0.01+'1、课程目标与考核方式'!$F$3*'4、平时成绩'!$F80*0.01+'1、课程目标与考核方式'!$G$3*'4、平时成绩'!$G80*0.01)/SUM('1、课程目标与考核方式'!$C$3:$G$3)</f>
        <v>0</v>
      </c>
      <c r="U80">
        <f>('1、课程目标与考核方式'!$C$4*'4、平时成绩'!$C80*0.01+'1、课程目标与考核方式'!$D$4*'4、平时成绩'!$D80*0.01+'1、课程目标与考核方式'!$E$4*'4、平时成绩'!$E80*0.01+'1、课程目标与考核方式'!$F$4*'4、平时成绩'!$F80*0.01+'1、课程目标与考核方式'!$G$4*'4、平时成绩'!$G80*0.01)/SUM('1、课程目标与考核方式'!$C$3:$G$3)</f>
        <v>0</v>
      </c>
      <c r="V80">
        <f>('1、课程目标与考核方式'!$C$5*'4、平时成绩'!$C80*0.01+'1、课程目标与考核方式'!$D$5*'4、平时成绩'!$D80*0.01+'1、课程目标与考核方式'!$E$5*'4、平时成绩'!$E80*0.01+'1、课程目标与考核方式'!$F$5*'4、平时成绩'!$F80*0.01+'1、课程目标与考核方式'!$G$5*'4、平时成绩'!$G80*0.01)/SUM('1、课程目标与考核方式'!$C$3:$G$3)</f>
        <v>0</v>
      </c>
      <c r="W80">
        <f>('1、课程目标与考核方式'!$C$6*'4、平时成绩'!$C80*0.01+'1、课程目标与考核方式'!$D$6*'4、平时成绩'!$D80*0.01+'1、课程目标与考核方式'!$E$6*'4、平时成绩'!$E80*0.01+'1、课程目标与考核方式'!$F$6*'4、平时成绩'!$F80*0.01+'1、课程目标与考核方式'!$G$6*'4、平时成绩'!$G80*0.01)/SUM('1、课程目标与考核方式'!$C$3:$G$3)</f>
        <v>0</v>
      </c>
      <c r="X80">
        <f>('1、课程目标与考核方式'!$C$7*'4、平时成绩'!$C80*0.01+'1、课程目标与考核方式'!$D$7*'4、平时成绩'!$D80*0.01+'1、课程目标与考核方式'!$E$7*'4、平时成绩'!$E80*0.01+'1、课程目标与考核方式'!$F$7*'4、平时成绩'!$F80*0.01+'1、课程目标与考核方式'!$G$7*'4、平时成绩'!$G80*0.01)/SUM('1、课程目标与考核方式'!$C$3:$G$3)</f>
        <v>0</v>
      </c>
      <c r="Y80">
        <f>('1、课程目标与考核方式'!$C$8*'4、平时成绩'!$C80*0.01+'1、课程目标与考核方式'!$D$8*'4、平时成绩'!$D80*0.01+'1、课程目标与考核方式'!$E$8*'4、平时成绩'!$E80*0.01+'1、课程目标与考核方式'!$F$8*'4、平时成绩'!$F80*0.01+'1、课程目标与考核方式'!$G$8*'4、平时成绩'!$G80*0.01)/SUM('1、课程目标与考核方式'!$C$3:$G$3)</f>
        <v>0</v>
      </c>
      <c r="Z80">
        <f>('1、课程目标与考核方式'!$C$9*'4、平时成绩'!$C80*0.01+'1、课程目标与考核方式'!$D$9*'4、平时成绩'!$D80*0.01+'1、课程目标与考核方式'!$E$9*'4、平时成绩'!$E80*0.01+'1、课程目标与考核方式'!$F$9*'4、平时成绩'!$F80*0.01+'1、课程目标与考核方式'!$G$9*'4、平时成绩'!$G80*0.01)/SUM('1、课程目标与考核方式'!$C$3:$G$3)</f>
        <v>0</v>
      </c>
      <c r="AA80">
        <f>('1、课程目标与考核方式'!$C$10*'4、平时成绩'!$C80*0.01+'1、课程目标与考核方式'!$D$10*'4、平时成绩'!$D80*0.01+'1、课程目标与考核方式'!$E$10*'4、平时成绩'!$E80*0.01+'1、课程目标与考核方式'!$F$10*'4、平时成绩'!$F80*0.01+'1、课程目标与考核方式'!$G$10*'4、平时成绩'!$G80*0.01)/SUM('1、课程目标与考核方式'!$C$3:$G$3)</f>
        <v>0</v>
      </c>
      <c r="AB80">
        <f>'3、期末成绩'!C80/'2、试卷（期末题目-课程目标）'!$C$2</f>
        <v>0</v>
      </c>
      <c r="AC80">
        <f>'3、期末成绩'!D80/'2、试卷（期末题目-课程目标）'!$C$3</f>
        <v>0</v>
      </c>
    </row>
    <row r="81" spans="10:29">
      <c r="J81" s="243" t="str">
        <f>IF(ISBLANK('3、期末成绩'!A81)," ",'3、期末成绩'!A81)</f>
        <v> </v>
      </c>
      <c r="K81" s="244" t="str">
        <f>IF(J81=" "," ",VLOOKUP(J81,'3、期末成绩'!$A$2:$B$201,2,FALSE))</f>
        <v> </v>
      </c>
      <c r="L81">
        <f>0.01*(T81*SUM('1、课程目标与考核方式'!$C$13:$G$13)+AB81*'1、课程目标与考核方式'!$H$13)</f>
        <v>0</v>
      </c>
      <c r="M81">
        <f>0.01*(U81*SUM('1、课程目标与考核方式'!$C$13:$G$13)+AC81*'1、课程目标与考核方式'!$H$13)</f>
        <v>0</v>
      </c>
      <c r="N81">
        <f>0.01*(V81*SUM('1、课程目标与考核方式'!$C$13:$G$13)+AD81*'1、课程目标与考核方式'!$H$13)</f>
        <v>0</v>
      </c>
      <c r="O81">
        <f>0.01*(W81*SUM('1、课程目标与考核方式'!$C$13:$G$13)+AE81*'1、课程目标与考核方式'!$H$13)</f>
        <v>0</v>
      </c>
      <c r="P81">
        <f>0.01*(X81*SUM('1、课程目标与考核方式'!$C$13:$G$13)+AF81*'1、课程目标与考核方式'!$H$13)</f>
        <v>0</v>
      </c>
      <c r="Q81">
        <f>0.01*(Y81*SUM('1、课程目标与考核方式'!$C$13:$G$13)+AG81*'1、课程目标与考核方式'!$H$13)</f>
        <v>0</v>
      </c>
      <c r="R81">
        <f>0.01*(Z81*SUM('1、课程目标与考核方式'!$C$13:$G$13)+AH81*'1、课程目标与考核方式'!$H$13)</f>
        <v>0</v>
      </c>
      <c r="S81">
        <f>0.01*(AA81*SUM('1、课程目标与考核方式'!$C$13:$G$13)+AI81*'1、课程目标与考核方式'!$H$13)</f>
        <v>0</v>
      </c>
      <c r="T81">
        <f>('1、课程目标与考核方式'!$C$3*'4、平时成绩'!$C81*0.01+'1、课程目标与考核方式'!$D$3*'4、平时成绩'!$D81*0.01+'1、课程目标与考核方式'!$E$3*'4、平时成绩'!$E81*0.01+'1、课程目标与考核方式'!$F$3*'4、平时成绩'!$F81*0.01+'1、课程目标与考核方式'!$G$3*'4、平时成绩'!$G81*0.01)/SUM('1、课程目标与考核方式'!$C$3:$G$3)</f>
        <v>0</v>
      </c>
      <c r="U81">
        <f>('1、课程目标与考核方式'!$C$4*'4、平时成绩'!$C81*0.01+'1、课程目标与考核方式'!$D$4*'4、平时成绩'!$D81*0.01+'1、课程目标与考核方式'!$E$4*'4、平时成绩'!$E81*0.01+'1、课程目标与考核方式'!$F$4*'4、平时成绩'!$F81*0.01+'1、课程目标与考核方式'!$G$4*'4、平时成绩'!$G81*0.01)/SUM('1、课程目标与考核方式'!$C$3:$G$3)</f>
        <v>0</v>
      </c>
      <c r="V81">
        <f>('1、课程目标与考核方式'!$C$5*'4、平时成绩'!$C81*0.01+'1、课程目标与考核方式'!$D$5*'4、平时成绩'!$D81*0.01+'1、课程目标与考核方式'!$E$5*'4、平时成绩'!$E81*0.01+'1、课程目标与考核方式'!$F$5*'4、平时成绩'!$F81*0.01+'1、课程目标与考核方式'!$G$5*'4、平时成绩'!$G81*0.01)/SUM('1、课程目标与考核方式'!$C$3:$G$3)</f>
        <v>0</v>
      </c>
      <c r="W81">
        <f>('1、课程目标与考核方式'!$C$6*'4、平时成绩'!$C81*0.01+'1、课程目标与考核方式'!$D$6*'4、平时成绩'!$D81*0.01+'1、课程目标与考核方式'!$E$6*'4、平时成绩'!$E81*0.01+'1、课程目标与考核方式'!$F$6*'4、平时成绩'!$F81*0.01+'1、课程目标与考核方式'!$G$6*'4、平时成绩'!$G81*0.01)/SUM('1、课程目标与考核方式'!$C$3:$G$3)</f>
        <v>0</v>
      </c>
      <c r="X81">
        <f>('1、课程目标与考核方式'!$C$7*'4、平时成绩'!$C81*0.01+'1、课程目标与考核方式'!$D$7*'4、平时成绩'!$D81*0.01+'1、课程目标与考核方式'!$E$7*'4、平时成绩'!$E81*0.01+'1、课程目标与考核方式'!$F$7*'4、平时成绩'!$F81*0.01+'1、课程目标与考核方式'!$G$7*'4、平时成绩'!$G81*0.01)/SUM('1、课程目标与考核方式'!$C$3:$G$3)</f>
        <v>0</v>
      </c>
      <c r="Y81">
        <f>('1、课程目标与考核方式'!$C$8*'4、平时成绩'!$C81*0.01+'1、课程目标与考核方式'!$D$8*'4、平时成绩'!$D81*0.01+'1、课程目标与考核方式'!$E$8*'4、平时成绩'!$E81*0.01+'1、课程目标与考核方式'!$F$8*'4、平时成绩'!$F81*0.01+'1、课程目标与考核方式'!$G$8*'4、平时成绩'!$G81*0.01)/SUM('1、课程目标与考核方式'!$C$3:$G$3)</f>
        <v>0</v>
      </c>
      <c r="Z81">
        <f>('1、课程目标与考核方式'!$C$9*'4、平时成绩'!$C81*0.01+'1、课程目标与考核方式'!$D$9*'4、平时成绩'!$D81*0.01+'1、课程目标与考核方式'!$E$9*'4、平时成绩'!$E81*0.01+'1、课程目标与考核方式'!$F$9*'4、平时成绩'!$F81*0.01+'1、课程目标与考核方式'!$G$9*'4、平时成绩'!$G81*0.01)/SUM('1、课程目标与考核方式'!$C$3:$G$3)</f>
        <v>0</v>
      </c>
      <c r="AA81">
        <f>('1、课程目标与考核方式'!$C$10*'4、平时成绩'!$C81*0.01+'1、课程目标与考核方式'!$D$10*'4、平时成绩'!$D81*0.01+'1、课程目标与考核方式'!$E$10*'4、平时成绩'!$E81*0.01+'1、课程目标与考核方式'!$F$10*'4、平时成绩'!$F81*0.01+'1、课程目标与考核方式'!$G$10*'4、平时成绩'!$G81*0.01)/SUM('1、课程目标与考核方式'!$C$3:$G$3)</f>
        <v>0</v>
      </c>
      <c r="AB81">
        <f>'3、期末成绩'!C81/'2、试卷（期末题目-课程目标）'!$C$2</f>
        <v>0</v>
      </c>
      <c r="AC81">
        <f>'3、期末成绩'!D81/'2、试卷（期末题目-课程目标）'!$C$3</f>
        <v>0</v>
      </c>
    </row>
    <row r="82" spans="10:29">
      <c r="J82" s="243" t="str">
        <f>IF(ISBLANK('3、期末成绩'!A82)," ",'3、期末成绩'!A82)</f>
        <v> </v>
      </c>
      <c r="K82" s="244" t="str">
        <f>IF(J82=" "," ",VLOOKUP(J82,'3、期末成绩'!$A$2:$B$201,2,FALSE))</f>
        <v> </v>
      </c>
      <c r="L82">
        <f>0.01*(T82*SUM('1、课程目标与考核方式'!$C$13:$G$13)+AB82*'1、课程目标与考核方式'!$H$13)</f>
        <v>0</v>
      </c>
      <c r="M82">
        <f>0.01*(U82*SUM('1、课程目标与考核方式'!$C$13:$G$13)+AC82*'1、课程目标与考核方式'!$H$13)</f>
        <v>0</v>
      </c>
      <c r="N82">
        <f>0.01*(V82*SUM('1、课程目标与考核方式'!$C$13:$G$13)+AD82*'1、课程目标与考核方式'!$H$13)</f>
        <v>0</v>
      </c>
      <c r="O82">
        <f>0.01*(W82*SUM('1、课程目标与考核方式'!$C$13:$G$13)+AE82*'1、课程目标与考核方式'!$H$13)</f>
        <v>0</v>
      </c>
      <c r="P82">
        <f>0.01*(X82*SUM('1、课程目标与考核方式'!$C$13:$G$13)+AF82*'1、课程目标与考核方式'!$H$13)</f>
        <v>0</v>
      </c>
      <c r="Q82">
        <f>0.01*(Y82*SUM('1、课程目标与考核方式'!$C$13:$G$13)+AG82*'1、课程目标与考核方式'!$H$13)</f>
        <v>0</v>
      </c>
      <c r="R82">
        <f>0.01*(Z82*SUM('1、课程目标与考核方式'!$C$13:$G$13)+AH82*'1、课程目标与考核方式'!$H$13)</f>
        <v>0</v>
      </c>
      <c r="S82">
        <f>0.01*(AA82*SUM('1、课程目标与考核方式'!$C$13:$G$13)+AI82*'1、课程目标与考核方式'!$H$13)</f>
        <v>0</v>
      </c>
      <c r="T82">
        <f>('1、课程目标与考核方式'!$C$3*'4、平时成绩'!$C82*0.01+'1、课程目标与考核方式'!$D$3*'4、平时成绩'!$D82*0.01+'1、课程目标与考核方式'!$E$3*'4、平时成绩'!$E82*0.01+'1、课程目标与考核方式'!$F$3*'4、平时成绩'!$F82*0.01+'1、课程目标与考核方式'!$G$3*'4、平时成绩'!$G82*0.01)/SUM('1、课程目标与考核方式'!$C$3:$G$3)</f>
        <v>0</v>
      </c>
      <c r="U82">
        <f>('1、课程目标与考核方式'!$C$4*'4、平时成绩'!$C82*0.01+'1、课程目标与考核方式'!$D$4*'4、平时成绩'!$D82*0.01+'1、课程目标与考核方式'!$E$4*'4、平时成绩'!$E82*0.01+'1、课程目标与考核方式'!$F$4*'4、平时成绩'!$F82*0.01+'1、课程目标与考核方式'!$G$4*'4、平时成绩'!$G82*0.01)/SUM('1、课程目标与考核方式'!$C$3:$G$3)</f>
        <v>0</v>
      </c>
      <c r="V82">
        <f>('1、课程目标与考核方式'!$C$5*'4、平时成绩'!$C82*0.01+'1、课程目标与考核方式'!$D$5*'4、平时成绩'!$D82*0.01+'1、课程目标与考核方式'!$E$5*'4、平时成绩'!$E82*0.01+'1、课程目标与考核方式'!$F$5*'4、平时成绩'!$F82*0.01+'1、课程目标与考核方式'!$G$5*'4、平时成绩'!$G82*0.01)/SUM('1、课程目标与考核方式'!$C$3:$G$3)</f>
        <v>0</v>
      </c>
      <c r="W82">
        <f>('1、课程目标与考核方式'!$C$6*'4、平时成绩'!$C82*0.01+'1、课程目标与考核方式'!$D$6*'4、平时成绩'!$D82*0.01+'1、课程目标与考核方式'!$E$6*'4、平时成绩'!$E82*0.01+'1、课程目标与考核方式'!$F$6*'4、平时成绩'!$F82*0.01+'1、课程目标与考核方式'!$G$6*'4、平时成绩'!$G82*0.01)/SUM('1、课程目标与考核方式'!$C$3:$G$3)</f>
        <v>0</v>
      </c>
      <c r="X82">
        <f>('1、课程目标与考核方式'!$C$7*'4、平时成绩'!$C82*0.01+'1、课程目标与考核方式'!$D$7*'4、平时成绩'!$D82*0.01+'1、课程目标与考核方式'!$E$7*'4、平时成绩'!$E82*0.01+'1、课程目标与考核方式'!$F$7*'4、平时成绩'!$F82*0.01+'1、课程目标与考核方式'!$G$7*'4、平时成绩'!$G82*0.01)/SUM('1、课程目标与考核方式'!$C$3:$G$3)</f>
        <v>0</v>
      </c>
      <c r="Y82">
        <f>('1、课程目标与考核方式'!$C$8*'4、平时成绩'!$C82*0.01+'1、课程目标与考核方式'!$D$8*'4、平时成绩'!$D82*0.01+'1、课程目标与考核方式'!$E$8*'4、平时成绩'!$E82*0.01+'1、课程目标与考核方式'!$F$8*'4、平时成绩'!$F82*0.01+'1、课程目标与考核方式'!$G$8*'4、平时成绩'!$G82*0.01)/SUM('1、课程目标与考核方式'!$C$3:$G$3)</f>
        <v>0</v>
      </c>
      <c r="Z82">
        <f>('1、课程目标与考核方式'!$C$9*'4、平时成绩'!$C82*0.01+'1、课程目标与考核方式'!$D$9*'4、平时成绩'!$D82*0.01+'1、课程目标与考核方式'!$E$9*'4、平时成绩'!$E82*0.01+'1、课程目标与考核方式'!$F$9*'4、平时成绩'!$F82*0.01+'1、课程目标与考核方式'!$G$9*'4、平时成绩'!$G82*0.01)/SUM('1、课程目标与考核方式'!$C$3:$G$3)</f>
        <v>0</v>
      </c>
      <c r="AA82">
        <f>('1、课程目标与考核方式'!$C$10*'4、平时成绩'!$C82*0.01+'1、课程目标与考核方式'!$D$10*'4、平时成绩'!$D82*0.01+'1、课程目标与考核方式'!$E$10*'4、平时成绩'!$E82*0.01+'1、课程目标与考核方式'!$F$10*'4、平时成绩'!$F82*0.01+'1、课程目标与考核方式'!$G$10*'4、平时成绩'!$G82*0.01)/SUM('1、课程目标与考核方式'!$C$3:$G$3)</f>
        <v>0</v>
      </c>
      <c r="AB82">
        <f>'3、期末成绩'!C82/'2、试卷（期末题目-课程目标）'!$C$2</f>
        <v>0</v>
      </c>
      <c r="AC82">
        <f>'3、期末成绩'!D82/'2、试卷（期末题目-课程目标）'!$C$3</f>
        <v>0</v>
      </c>
    </row>
    <row r="83" spans="10:29">
      <c r="J83" s="243" t="str">
        <f>IF(ISBLANK('3、期末成绩'!A83)," ",'3、期末成绩'!A83)</f>
        <v> </v>
      </c>
      <c r="K83" s="244" t="str">
        <f>IF(J83=" "," ",VLOOKUP(J83,'3、期末成绩'!$A$2:$B$201,2,FALSE))</f>
        <v> </v>
      </c>
      <c r="L83">
        <f>0.01*(T83*SUM('1、课程目标与考核方式'!$C$13:$G$13)+AB83*'1、课程目标与考核方式'!$H$13)</f>
        <v>0</v>
      </c>
      <c r="M83">
        <f>0.01*(U83*SUM('1、课程目标与考核方式'!$C$13:$G$13)+AC83*'1、课程目标与考核方式'!$H$13)</f>
        <v>0</v>
      </c>
      <c r="N83">
        <f>0.01*(V83*SUM('1、课程目标与考核方式'!$C$13:$G$13)+AD83*'1、课程目标与考核方式'!$H$13)</f>
        <v>0</v>
      </c>
      <c r="O83">
        <f>0.01*(W83*SUM('1、课程目标与考核方式'!$C$13:$G$13)+AE83*'1、课程目标与考核方式'!$H$13)</f>
        <v>0</v>
      </c>
      <c r="P83">
        <f>0.01*(X83*SUM('1、课程目标与考核方式'!$C$13:$G$13)+AF83*'1、课程目标与考核方式'!$H$13)</f>
        <v>0</v>
      </c>
      <c r="Q83">
        <f>0.01*(Y83*SUM('1、课程目标与考核方式'!$C$13:$G$13)+AG83*'1、课程目标与考核方式'!$H$13)</f>
        <v>0</v>
      </c>
      <c r="R83">
        <f>0.01*(Z83*SUM('1、课程目标与考核方式'!$C$13:$G$13)+AH83*'1、课程目标与考核方式'!$H$13)</f>
        <v>0</v>
      </c>
      <c r="S83">
        <f>0.01*(AA83*SUM('1、课程目标与考核方式'!$C$13:$G$13)+AI83*'1、课程目标与考核方式'!$H$13)</f>
        <v>0</v>
      </c>
      <c r="T83">
        <f>('1、课程目标与考核方式'!$C$3*'4、平时成绩'!$C83*0.01+'1、课程目标与考核方式'!$D$3*'4、平时成绩'!$D83*0.01+'1、课程目标与考核方式'!$E$3*'4、平时成绩'!$E83*0.01+'1、课程目标与考核方式'!$F$3*'4、平时成绩'!$F83*0.01+'1、课程目标与考核方式'!$G$3*'4、平时成绩'!$G83*0.01)/SUM('1、课程目标与考核方式'!$C$3:$G$3)</f>
        <v>0</v>
      </c>
      <c r="U83">
        <f>('1、课程目标与考核方式'!$C$4*'4、平时成绩'!$C83*0.01+'1、课程目标与考核方式'!$D$4*'4、平时成绩'!$D83*0.01+'1、课程目标与考核方式'!$E$4*'4、平时成绩'!$E83*0.01+'1、课程目标与考核方式'!$F$4*'4、平时成绩'!$F83*0.01+'1、课程目标与考核方式'!$G$4*'4、平时成绩'!$G83*0.01)/SUM('1、课程目标与考核方式'!$C$3:$G$3)</f>
        <v>0</v>
      </c>
      <c r="V83">
        <f>('1、课程目标与考核方式'!$C$5*'4、平时成绩'!$C83*0.01+'1、课程目标与考核方式'!$D$5*'4、平时成绩'!$D83*0.01+'1、课程目标与考核方式'!$E$5*'4、平时成绩'!$E83*0.01+'1、课程目标与考核方式'!$F$5*'4、平时成绩'!$F83*0.01+'1、课程目标与考核方式'!$G$5*'4、平时成绩'!$G83*0.01)/SUM('1、课程目标与考核方式'!$C$3:$G$3)</f>
        <v>0</v>
      </c>
      <c r="W83">
        <f>('1、课程目标与考核方式'!$C$6*'4、平时成绩'!$C83*0.01+'1、课程目标与考核方式'!$D$6*'4、平时成绩'!$D83*0.01+'1、课程目标与考核方式'!$E$6*'4、平时成绩'!$E83*0.01+'1、课程目标与考核方式'!$F$6*'4、平时成绩'!$F83*0.01+'1、课程目标与考核方式'!$G$6*'4、平时成绩'!$G83*0.01)/SUM('1、课程目标与考核方式'!$C$3:$G$3)</f>
        <v>0</v>
      </c>
      <c r="X83">
        <f>('1、课程目标与考核方式'!$C$7*'4、平时成绩'!$C83*0.01+'1、课程目标与考核方式'!$D$7*'4、平时成绩'!$D83*0.01+'1、课程目标与考核方式'!$E$7*'4、平时成绩'!$E83*0.01+'1、课程目标与考核方式'!$F$7*'4、平时成绩'!$F83*0.01+'1、课程目标与考核方式'!$G$7*'4、平时成绩'!$G83*0.01)/SUM('1、课程目标与考核方式'!$C$3:$G$3)</f>
        <v>0</v>
      </c>
      <c r="Y83">
        <f>('1、课程目标与考核方式'!$C$8*'4、平时成绩'!$C83*0.01+'1、课程目标与考核方式'!$D$8*'4、平时成绩'!$D83*0.01+'1、课程目标与考核方式'!$E$8*'4、平时成绩'!$E83*0.01+'1、课程目标与考核方式'!$F$8*'4、平时成绩'!$F83*0.01+'1、课程目标与考核方式'!$G$8*'4、平时成绩'!$G83*0.01)/SUM('1、课程目标与考核方式'!$C$3:$G$3)</f>
        <v>0</v>
      </c>
      <c r="Z83">
        <f>('1、课程目标与考核方式'!$C$9*'4、平时成绩'!$C83*0.01+'1、课程目标与考核方式'!$D$9*'4、平时成绩'!$D83*0.01+'1、课程目标与考核方式'!$E$9*'4、平时成绩'!$E83*0.01+'1、课程目标与考核方式'!$F$9*'4、平时成绩'!$F83*0.01+'1、课程目标与考核方式'!$G$9*'4、平时成绩'!$G83*0.01)/SUM('1、课程目标与考核方式'!$C$3:$G$3)</f>
        <v>0</v>
      </c>
      <c r="AA83">
        <f>('1、课程目标与考核方式'!$C$10*'4、平时成绩'!$C83*0.01+'1、课程目标与考核方式'!$D$10*'4、平时成绩'!$D83*0.01+'1、课程目标与考核方式'!$E$10*'4、平时成绩'!$E83*0.01+'1、课程目标与考核方式'!$F$10*'4、平时成绩'!$F83*0.01+'1、课程目标与考核方式'!$G$10*'4、平时成绩'!$G83*0.01)/SUM('1、课程目标与考核方式'!$C$3:$G$3)</f>
        <v>0</v>
      </c>
      <c r="AB83">
        <f>'3、期末成绩'!C83/'2、试卷（期末题目-课程目标）'!$C$2</f>
        <v>0</v>
      </c>
      <c r="AC83">
        <f>'3、期末成绩'!D83/'2、试卷（期末题目-课程目标）'!$C$3</f>
        <v>0</v>
      </c>
    </row>
    <row r="84" spans="10:29">
      <c r="J84" s="243" t="str">
        <f>IF(ISBLANK('3、期末成绩'!A84)," ",'3、期末成绩'!A84)</f>
        <v> </v>
      </c>
      <c r="K84" s="244" t="str">
        <f>IF(J84=" "," ",VLOOKUP(J84,'3、期末成绩'!$A$2:$B$201,2,FALSE))</f>
        <v> </v>
      </c>
      <c r="L84">
        <f>0.01*(T84*SUM('1、课程目标与考核方式'!$C$13:$G$13)+AB84*'1、课程目标与考核方式'!$H$13)</f>
        <v>0</v>
      </c>
      <c r="M84">
        <f>0.01*(U84*SUM('1、课程目标与考核方式'!$C$13:$G$13)+AC84*'1、课程目标与考核方式'!$H$13)</f>
        <v>0</v>
      </c>
      <c r="N84">
        <f>0.01*(V84*SUM('1、课程目标与考核方式'!$C$13:$G$13)+AD84*'1、课程目标与考核方式'!$H$13)</f>
        <v>0</v>
      </c>
      <c r="O84">
        <f>0.01*(W84*SUM('1、课程目标与考核方式'!$C$13:$G$13)+AE84*'1、课程目标与考核方式'!$H$13)</f>
        <v>0</v>
      </c>
      <c r="P84">
        <f>0.01*(X84*SUM('1、课程目标与考核方式'!$C$13:$G$13)+AF84*'1、课程目标与考核方式'!$H$13)</f>
        <v>0</v>
      </c>
      <c r="Q84">
        <f>0.01*(Y84*SUM('1、课程目标与考核方式'!$C$13:$G$13)+AG84*'1、课程目标与考核方式'!$H$13)</f>
        <v>0</v>
      </c>
      <c r="R84">
        <f>0.01*(Z84*SUM('1、课程目标与考核方式'!$C$13:$G$13)+AH84*'1、课程目标与考核方式'!$H$13)</f>
        <v>0</v>
      </c>
      <c r="S84">
        <f>0.01*(AA84*SUM('1、课程目标与考核方式'!$C$13:$G$13)+AI84*'1、课程目标与考核方式'!$H$13)</f>
        <v>0</v>
      </c>
      <c r="T84">
        <f>('1、课程目标与考核方式'!$C$3*'4、平时成绩'!$C84*0.01+'1、课程目标与考核方式'!$D$3*'4、平时成绩'!$D84*0.01+'1、课程目标与考核方式'!$E$3*'4、平时成绩'!$E84*0.01+'1、课程目标与考核方式'!$F$3*'4、平时成绩'!$F84*0.01+'1、课程目标与考核方式'!$G$3*'4、平时成绩'!$G84*0.01)/SUM('1、课程目标与考核方式'!$C$3:$G$3)</f>
        <v>0</v>
      </c>
      <c r="U84">
        <f>('1、课程目标与考核方式'!$C$4*'4、平时成绩'!$C84*0.01+'1、课程目标与考核方式'!$D$4*'4、平时成绩'!$D84*0.01+'1、课程目标与考核方式'!$E$4*'4、平时成绩'!$E84*0.01+'1、课程目标与考核方式'!$F$4*'4、平时成绩'!$F84*0.01+'1、课程目标与考核方式'!$G$4*'4、平时成绩'!$G84*0.01)/SUM('1、课程目标与考核方式'!$C$3:$G$3)</f>
        <v>0</v>
      </c>
      <c r="V84">
        <f>('1、课程目标与考核方式'!$C$5*'4、平时成绩'!$C84*0.01+'1、课程目标与考核方式'!$D$5*'4、平时成绩'!$D84*0.01+'1、课程目标与考核方式'!$E$5*'4、平时成绩'!$E84*0.01+'1、课程目标与考核方式'!$F$5*'4、平时成绩'!$F84*0.01+'1、课程目标与考核方式'!$G$5*'4、平时成绩'!$G84*0.01)/SUM('1、课程目标与考核方式'!$C$3:$G$3)</f>
        <v>0</v>
      </c>
      <c r="W84">
        <f>('1、课程目标与考核方式'!$C$6*'4、平时成绩'!$C84*0.01+'1、课程目标与考核方式'!$D$6*'4、平时成绩'!$D84*0.01+'1、课程目标与考核方式'!$E$6*'4、平时成绩'!$E84*0.01+'1、课程目标与考核方式'!$F$6*'4、平时成绩'!$F84*0.01+'1、课程目标与考核方式'!$G$6*'4、平时成绩'!$G84*0.01)/SUM('1、课程目标与考核方式'!$C$3:$G$3)</f>
        <v>0</v>
      </c>
      <c r="X84">
        <f>('1、课程目标与考核方式'!$C$7*'4、平时成绩'!$C84*0.01+'1、课程目标与考核方式'!$D$7*'4、平时成绩'!$D84*0.01+'1、课程目标与考核方式'!$E$7*'4、平时成绩'!$E84*0.01+'1、课程目标与考核方式'!$F$7*'4、平时成绩'!$F84*0.01+'1、课程目标与考核方式'!$G$7*'4、平时成绩'!$G84*0.01)/SUM('1、课程目标与考核方式'!$C$3:$G$3)</f>
        <v>0</v>
      </c>
      <c r="Y84">
        <f>('1、课程目标与考核方式'!$C$8*'4、平时成绩'!$C84*0.01+'1、课程目标与考核方式'!$D$8*'4、平时成绩'!$D84*0.01+'1、课程目标与考核方式'!$E$8*'4、平时成绩'!$E84*0.01+'1、课程目标与考核方式'!$F$8*'4、平时成绩'!$F84*0.01+'1、课程目标与考核方式'!$G$8*'4、平时成绩'!$G84*0.01)/SUM('1、课程目标与考核方式'!$C$3:$G$3)</f>
        <v>0</v>
      </c>
      <c r="Z84">
        <f>('1、课程目标与考核方式'!$C$9*'4、平时成绩'!$C84*0.01+'1、课程目标与考核方式'!$D$9*'4、平时成绩'!$D84*0.01+'1、课程目标与考核方式'!$E$9*'4、平时成绩'!$E84*0.01+'1、课程目标与考核方式'!$F$9*'4、平时成绩'!$F84*0.01+'1、课程目标与考核方式'!$G$9*'4、平时成绩'!$G84*0.01)/SUM('1、课程目标与考核方式'!$C$3:$G$3)</f>
        <v>0</v>
      </c>
      <c r="AA84">
        <f>('1、课程目标与考核方式'!$C$10*'4、平时成绩'!$C84*0.01+'1、课程目标与考核方式'!$D$10*'4、平时成绩'!$D84*0.01+'1、课程目标与考核方式'!$E$10*'4、平时成绩'!$E84*0.01+'1、课程目标与考核方式'!$F$10*'4、平时成绩'!$F84*0.01+'1、课程目标与考核方式'!$G$10*'4、平时成绩'!$G84*0.01)/SUM('1、课程目标与考核方式'!$C$3:$G$3)</f>
        <v>0</v>
      </c>
      <c r="AB84">
        <f>'3、期末成绩'!C84/'2、试卷（期末题目-课程目标）'!$C$2</f>
        <v>0</v>
      </c>
      <c r="AC84">
        <f>'3、期末成绩'!D84/'2、试卷（期末题目-课程目标）'!$C$3</f>
        <v>0</v>
      </c>
    </row>
    <row r="85" spans="10:29">
      <c r="J85" s="243" t="str">
        <f>IF(ISBLANK('3、期末成绩'!A85)," ",'3、期末成绩'!A85)</f>
        <v> </v>
      </c>
      <c r="K85" s="244" t="str">
        <f>IF(J85=" "," ",VLOOKUP(J85,'3、期末成绩'!$A$2:$B$201,2,FALSE))</f>
        <v> </v>
      </c>
      <c r="L85">
        <f>0.01*(T85*SUM('1、课程目标与考核方式'!$C$13:$G$13)+AB85*'1、课程目标与考核方式'!$H$13)</f>
        <v>0</v>
      </c>
      <c r="M85">
        <f>0.01*(U85*SUM('1、课程目标与考核方式'!$C$13:$G$13)+AC85*'1、课程目标与考核方式'!$H$13)</f>
        <v>0</v>
      </c>
      <c r="N85">
        <f>0.01*(V85*SUM('1、课程目标与考核方式'!$C$13:$G$13)+AD85*'1、课程目标与考核方式'!$H$13)</f>
        <v>0</v>
      </c>
      <c r="O85">
        <f>0.01*(W85*SUM('1、课程目标与考核方式'!$C$13:$G$13)+AE85*'1、课程目标与考核方式'!$H$13)</f>
        <v>0</v>
      </c>
      <c r="P85">
        <f>0.01*(X85*SUM('1、课程目标与考核方式'!$C$13:$G$13)+AF85*'1、课程目标与考核方式'!$H$13)</f>
        <v>0</v>
      </c>
      <c r="Q85">
        <f>0.01*(Y85*SUM('1、课程目标与考核方式'!$C$13:$G$13)+AG85*'1、课程目标与考核方式'!$H$13)</f>
        <v>0</v>
      </c>
      <c r="R85">
        <f>0.01*(Z85*SUM('1、课程目标与考核方式'!$C$13:$G$13)+AH85*'1、课程目标与考核方式'!$H$13)</f>
        <v>0</v>
      </c>
      <c r="S85">
        <f>0.01*(AA85*SUM('1、课程目标与考核方式'!$C$13:$G$13)+AI85*'1、课程目标与考核方式'!$H$13)</f>
        <v>0</v>
      </c>
      <c r="T85">
        <f>('1、课程目标与考核方式'!$C$3*'4、平时成绩'!$C85*0.01+'1、课程目标与考核方式'!$D$3*'4、平时成绩'!$D85*0.01+'1、课程目标与考核方式'!$E$3*'4、平时成绩'!$E85*0.01+'1、课程目标与考核方式'!$F$3*'4、平时成绩'!$F85*0.01+'1、课程目标与考核方式'!$G$3*'4、平时成绩'!$G85*0.01)/SUM('1、课程目标与考核方式'!$C$3:$G$3)</f>
        <v>0</v>
      </c>
      <c r="U85">
        <f>('1、课程目标与考核方式'!$C$4*'4、平时成绩'!$C85*0.01+'1、课程目标与考核方式'!$D$4*'4、平时成绩'!$D85*0.01+'1、课程目标与考核方式'!$E$4*'4、平时成绩'!$E85*0.01+'1、课程目标与考核方式'!$F$4*'4、平时成绩'!$F85*0.01+'1、课程目标与考核方式'!$G$4*'4、平时成绩'!$G85*0.01)/SUM('1、课程目标与考核方式'!$C$3:$G$3)</f>
        <v>0</v>
      </c>
      <c r="V85">
        <f>('1、课程目标与考核方式'!$C$5*'4、平时成绩'!$C85*0.01+'1、课程目标与考核方式'!$D$5*'4、平时成绩'!$D85*0.01+'1、课程目标与考核方式'!$E$5*'4、平时成绩'!$E85*0.01+'1、课程目标与考核方式'!$F$5*'4、平时成绩'!$F85*0.01+'1、课程目标与考核方式'!$G$5*'4、平时成绩'!$G85*0.01)/SUM('1、课程目标与考核方式'!$C$3:$G$3)</f>
        <v>0</v>
      </c>
      <c r="W85">
        <f>('1、课程目标与考核方式'!$C$6*'4、平时成绩'!$C85*0.01+'1、课程目标与考核方式'!$D$6*'4、平时成绩'!$D85*0.01+'1、课程目标与考核方式'!$E$6*'4、平时成绩'!$E85*0.01+'1、课程目标与考核方式'!$F$6*'4、平时成绩'!$F85*0.01+'1、课程目标与考核方式'!$G$6*'4、平时成绩'!$G85*0.01)/SUM('1、课程目标与考核方式'!$C$3:$G$3)</f>
        <v>0</v>
      </c>
      <c r="X85">
        <f>('1、课程目标与考核方式'!$C$7*'4、平时成绩'!$C85*0.01+'1、课程目标与考核方式'!$D$7*'4、平时成绩'!$D85*0.01+'1、课程目标与考核方式'!$E$7*'4、平时成绩'!$E85*0.01+'1、课程目标与考核方式'!$F$7*'4、平时成绩'!$F85*0.01+'1、课程目标与考核方式'!$G$7*'4、平时成绩'!$G85*0.01)/SUM('1、课程目标与考核方式'!$C$3:$G$3)</f>
        <v>0</v>
      </c>
      <c r="Y85">
        <f>('1、课程目标与考核方式'!$C$8*'4、平时成绩'!$C85*0.01+'1、课程目标与考核方式'!$D$8*'4、平时成绩'!$D85*0.01+'1、课程目标与考核方式'!$E$8*'4、平时成绩'!$E85*0.01+'1、课程目标与考核方式'!$F$8*'4、平时成绩'!$F85*0.01+'1、课程目标与考核方式'!$G$8*'4、平时成绩'!$G85*0.01)/SUM('1、课程目标与考核方式'!$C$3:$G$3)</f>
        <v>0</v>
      </c>
      <c r="Z85">
        <f>('1、课程目标与考核方式'!$C$9*'4、平时成绩'!$C85*0.01+'1、课程目标与考核方式'!$D$9*'4、平时成绩'!$D85*0.01+'1、课程目标与考核方式'!$E$9*'4、平时成绩'!$E85*0.01+'1、课程目标与考核方式'!$F$9*'4、平时成绩'!$F85*0.01+'1、课程目标与考核方式'!$G$9*'4、平时成绩'!$G85*0.01)/SUM('1、课程目标与考核方式'!$C$3:$G$3)</f>
        <v>0</v>
      </c>
      <c r="AA85">
        <f>('1、课程目标与考核方式'!$C$10*'4、平时成绩'!$C85*0.01+'1、课程目标与考核方式'!$D$10*'4、平时成绩'!$D85*0.01+'1、课程目标与考核方式'!$E$10*'4、平时成绩'!$E85*0.01+'1、课程目标与考核方式'!$F$10*'4、平时成绩'!$F85*0.01+'1、课程目标与考核方式'!$G$10*'4、平时成绩'!$G85*0.01)/SUM('1、课程目标与考核方式'!$C$3:$G$3)</f>
        <v>0</v>
      </c>
      <c r="AB85">
        <f>'3、期末成绩'!C85/'2、试卷（期末题目-课程目标）'!$C$2</f>
        <v>0</v>
      </c>
      <c r="AC85">
        <f>'3、期末成绩'!D85/'2、试卷（期末题目-课程目标）'!$C$3</f>
        <v>0</v>
      </c>
    </row>
    <row r="86" spans="10:29">
      <c r="J86" s="243" t="str">
        <f>IF(ISBLANK('3、期末成绩'!A86)," ",'3、期末成绩'!A86)</f>
        <v> </v>
      </c>
      <c r="K86" s="244" t="str">
        <f>IF(J86=" "," ",VLOOKUP(J86,'3、期末成绩'!$A$2:$B$201,2,FALSE))</f>
        <v> </v>
      </c>
      <c r="L86">
        <f>0.01*(T86*SUM('1、课程目标与考核方式'!$C$13:$G$13)+AB86*'1、课程目标与考核方式'!$H$13)</f>
        <v>0</v>
      </c>
      <c r="M86">
        <f>0.01*(U86*SUM('1、课程目标与考核方式'!$C$13:$G$13)+AC86*'1、课程目标与考核方式'!$H$13)</f>
        <v>0</v>
      </c>
      <c r="N86">
        <f>0.01*(V86*SUM('1、课程目标与考核方式'!$C$13:$G$13)+AD86*'1、课程目标与考核方式'!$H$13)</f>
        <v>0</v>
      </c>
      <c r="O86">
        <f>0.01*(W86*SUM('1、课程目标与考核方式'!$C$13:$G$13)+AE86*'1、课程目标与考核方式'!$H$13)</f>
        <v>0</v>
      </c>
      <c r="P86">
        <f>0.01*(X86*SUM('1、课程目标与考核方式'!$C$13:$G$13)+AF86*'1、课程目标与考核方式'!$H$13)</f>
        <v>0</v>
      </c>
      <c r="Q86">
        <f>0.01*(Y86*SUM('1、课程目标与考核方式'!$C$13:$G$13)+AG86*'1、课程目标与考核方式'!$H$13)</f>
        <v>0</v>
      </c>
      <c r="R86">
        <f>0.01*(Z86*SUM('1、课程目标与考核方式'!$C$13:$G$13)+AH86*'1、课程目标与考核方式'!$H$13)</f>
        <v>0</v>
      </c>
      <c r="S86">
        <f>0.01*(AA86*SUM('1、课程目标与考核方式'!$C$13:$G$13)+AI86*'1、课程目标与考核方式'!$H$13)</f>
        <v>0</v>
      </c>
      <c r="T86">
        <f>('1、课程目标与考核方式'!$C$3*'4、平时成绩'!$C86*0.01+'1、课程目标与考核方式'!$D$3*'4、平时成绩'!$D86*0.01+'1、课程目标与考核方式'!$E$3*'4、平时成绩'!$E86*0.01+'1、课程目标与考核方式'!$F$3*'4、平时成绩'!$F86*0.01+'1、课程目标与考核方式'!$G$3*'4、平时成绩'!$G86*0.01)/SUM('1、课程目标与考核方式'!$C$3:$G$3)</f>
        <v>0</v>
      </c>
      <c r="U86">
        <f>('1、课程目标与考核方式'!$C$4*'4、平时成绩'!$C86*0.01+'1、课程目标与考核方式'!$D$4*'4、平时成绩'!$D86*0.01+'1、课程目标与考核方式'!$E$4*'4、平时成绩'!$E86*0.01+'1、课程目标与考核方式'!$F$4*'4、平时成绩'!$F86*0.01+'1、课程目标与考核方式'!$G$4*'4、平时成绩'!$G86*0.01)/SUM('1、课程目标与考核方式'!$C$3:$G$3)</f>
        <v>0</v>
      </c>
      <c r="V86">
        <f>('1、课程目标与考核方式'!$C$5*'4、平时成绩'!$C86*0.01+'1、课程目标与考核方式'!$D$5*'4、平时成绩'!$D86*0.01+'1、课程目标与考核方式'!$E$5*'4、平时成绩'!$E86*0.01+'1、课程目标与考核方式'!$F$5*'4、平时成绩'!$F86*0.01+'1、课程目标与考核方式'!$G$5*'4、平时成绩'!$G86*0.01)/SUM('1、课程目标与考核方式'!$C$3:$G$3)</f>
        <v>0</v>
      </c>
      <c r="W86">
        <f>('1、课程目标与考核方式'!$C$6*'4、平时成绩'!$C86*0.01+'1、课程目标与考核方式'!$D$6*'4、平时成绩'!$D86*0.01+'1、课程目标与考核方式'!$E$6*'4、平时成绩'!$E86*0.01+'1、课程目标与考核方式'!$F$6*'4、平时成绩'!$F86*0.01+'1、课程目标与考核方式'!$G$6*'4、平时成绩'!$G86*0.01)/SUM('1、课程目标与考核方式'!$C$3:$G$3)</f>
        <v>0</v>
      </c>
      <c r="X86">
        <f>('1、课程目标与考核方式'!$C$7*'4、平时成绩'!$C86*0.01+'1、课程目标与考核方式'!$D$7*'4、平时成绩'!$D86*0.01+'1、课程目标与考核方式'!$E$7*'4、平时成绩'!$E86*0.01+'1、课程目标与考核方式'!$F$7*'4、平时成绩'!$F86*0.01+'1、课程目标与考核方式'!$G$7*'4、平时成绩'!$G86*0.01)/SUM('1、课程目标与考核方式'!$C$3:$G$3)</f>
        <v>0</v>
      </c>
      <c r="Y86">
        <f>('1、课程目标与考核方式'!$C$8*'4、平时成绩'!$C86*0.01+'1、课程目标与考核方式'!$D$8*'4、平时成绩'!$D86*0.01+'1、课程目标与考核方式'!$E$8*'4、平时成绩'!$E86*0.01+'1、课程目标与考核方式'!$F$8*'4、平时成绩'!$F86*0.01+'1、课程目标与考核方式'!$G$8*'4、平时成绩'!$G86*0.01)/SUM('1、课程目标与考核方式'!$C$3:$G$3)</f>
        <v>0</v>
      </c>
      <c r="Z86">
        <f>('1、课程目标与考核方式'!$C$9*'4、平时成绩'!$C86*0.01+'1、课程目标与考核方式'!$D$9*'4、平时成绩'!$D86*0.01+'1、课程目标与考核方式'!$E$9*'4、平时成绩'!$E86*0.01+'1、课程目标与考核方式'!$F$9*'4、平时成绩'!$F86*0.01+'1、课程目标与考核方式'!$G$9*'4、平时成绩'!$G86*0.01)/SUM('1、课程目标与考核方式'!$C$3:$G$3)</f>
        <v>0</v>
      </c>
      <c r="AA86">
        <f>('1、课程目标与考核方式'!$C$10*'4、平时成绩'!$C86*0.01+'1、课程目标与考核方式'!$D$10*'4、平时成绩'!$D86*0.01+'1、课程目标与考核方式'!$E$10*'4、平时成绩'!$E86*0.01+'1、课程目标与考核方式'!$F$10*'4、平时成绩'!$F86*0.01+'1、课程目标与考核方式'!$G$10*'4、平时成绩'!$G86*0.01)/SUM('1、课程目标与考核方式'!$C$3:$G$3)</f>
        <v>0</v>
      </c>
      <c r="AB86">
        <f>'3、期末成绩'!C86/'2、试卷（期末题目-课程目标）'!$C$2</f>
        <v>0</v>
      </c>
      <c r="AC86">
        <f>'3、期末成绩'!D86/'2、试卷（期末题目-课程目标）'!$C$3</f>
        <v>0</v>
      </c>
    </row>
    <row r="87" spans="10:29">
      <c r="J87" s="243" t="str">
        <f>IF(ISBLANK('3、期末成绩'!A87)," ",'3、期末成绩'!A87)</f>
        <v> </v>
      </c>
      <c r="K87" s="244" t="str">
        <f>IF(J87=" "," ",VLOOKUP(J87,'3、期末成绩'!$A$2:$B$201,2,FALSE))</f>
        <v> </v>
      </c>
      <c r="L87">
        <f>0.01*(T87*SUM('1、课程目标与考核方式'!$C$13:$G$13)+AB87*'1、课程目标与考核方式'!$H$13)</f>
        <v>0</v>
      </c>
      <c r="M87">
        <f>0.01*(U87*SUM('1、课程目标与考核方式'!$C$13:$G$13)+AC87*'1、课程目标与考核方式'!$H$13)</f>
        <v>0</v>
      </c>
      <c r="N87">
        <f>0.01*(V87*SUM('1、课程目标与考核方式'!$C$13:$G$13)+AD87*'1、课程目标与考核方式'!$H$13)</f>
        <v>0</v>
      </c>
      <c r="O87">
        <f>0.01*(W87*SUM('1、课程目标与考核方式'!$C$13:$G$13)+AE87*'1、课程目标与考核方式'!$H$13)</f>
        <v>0</v>
      </c>
      <c r="P87">
        <f>0.01*(X87*SUM('1、课程目标与考核方式'!$C$13:$G$13)+AF87*'1、课程目标与考核方式'!$H$13)</f>
        <v>0</v>
      </c>
      <c r="Q87">
        <f>0.01*(Y87*SUM('1、课程目标与考核方式'!$C$13:$G$13)+AG87*'1、课程目标与考核方式'!$H$13)</f>
        <v>0</v>
      </c>
      <c r="R87">
        <f>0.01*(Z87*SUM('1、课程目标与考核方式'!$C$13:$G$13)+AH87*'1、课程目标与考核方式'!$H$13)</f>
        <v>0</v>
      </c>
      <c r="S87">
        <f>0.01*(AA87*SUM('1、课程目标与考核方式'!$C$13:$G$13)+AI87*'1、课程目标与考核方式'!$H$13)</f>
        <v>0</v>
      </c>
      <c r="T87">
        <f>('1、课程目标与考核方式'!$C$3*'4、平时成绩'!$C87*0.01+'1、课程目标与考核方式'!$D$3*'4、平时成绩'!$D87*0.01+'1、课程目标与考核方式'!$E$3*'4、平时成绩'!$E87*0.01+'1、课程目标与考核方式'!$F$3*'4、平时成绩'!$F87*0.01+'1、课程目标与考核方式'!$G$3*'4、平时成绩'!$G87*0.01)/SUM('1、课程目标与考核方式'!$C$3:$G$3)</f>
        <v>0</v>
      </c>
      <c r="U87">
        <f>('1、课程目标与考核方式'!$C$4*'4、平时成绩'!$C87*0.01+'1、课程目标与考核方式'!$D$4*'4、平时成绩'!$D87*0.01+'1、课程目标与考核方式'!$E$4*'4、平时成绩'!$E87*0.01+'1、课程目标与考核方式'!$F$4*'4、平时成绩'!$F87*0.01+'1、课程目标与考核方式'!$G$4*'4、平时成绩'!$G87*0.01)/SUM('1、课程目标与考核方式'!$C$3:$G$3)</f>
        <v>0</v>
      </c>
      <c r="V87">
        <f>('1、课程目标与考核方式'!$C$5*'4、平时成绩'!$C87*0.01+'1、课程目标与考核方式'!$D$5*'4、平时成绩'!$D87*0.01+'1、课程目标与考核方式'!$E$5*'4、平时成绩'!$E87*0.01+'1、课程目标与考核方式'!$F$5*'4、平时成绩'!$F87*0.01+'1、课程目标与考核方式'!$G$5*'4、平时成绩'!$G87*0.01)/SUM('1、课程目标与考核方式'!$C$3:$G$3)</f>
        <v>0</v>
      </c>
      <c r="W87">
        <f>('1、课程目标与考核方式'!$C$6*'4、平时成绩'!$C87*0.01+'1、课程目标与考核方式'!$D$6*'4、平时成绩'!$D87*0.01+'1、课程目标与考核方式'!$E$6*'4、平时成绩'!$E87*0.01+'1、课程目标与考核方式'!$F$6*'4、平时成绩'!$F87*0.01+'1、课程目标与考核方式'!$G$6*'4、平时成绩'!$G87*0.01)/SUM('1、课程目标与考核方式'!$C$3:$G$3)</f>
        <v>0</v>
      </c>
      <c r="X87">
        <f>('1、课程目标与考核方式'!$C$7*'4、平时成绩'!$C87*0.01+'1、课程目标与考核方式'!$D$7*'4、平时成绩'!$D87*0.01+'1、课程目标与考核方式'!$E$7*'4、平时成绩'!$E87*0.01+'1、课程目标与考核方式'!$F$7*'4、平时成绩'!$F87*0.01+'1、课程目标与考核方式'!$G$7*'4、平时成绩'!$G87*0.01)/SUM('1、课程目标与考核方式'!$C$3:$G$3)</f>
        <v>0</v>
      </c>
      <c r="Y87">
        <f>('1、课程目标与考核方式'!$C$8*'4、平时成绩'!$C87*0.01+'1、课程目标与考核方式'!$D$8*'4、平时成绩'!$D87*0.01+'1、课程目标与考核方式'!$E$8*'4、平时成绩'!$E87*0.01+'1、课程目标与考核方式'!$F$8*'4、平时成绩'!$F87*0.01+'1、课程目标与考核方式'!$G$8*'4、平时成绩'!$G87*0.01)/SUM('1、课程目标与考核方式'!$C$3:$G$3)</f>
        <v>0</v>
      </c>
      <c r="Z87">
        <f>('1、课程目标与考核方式'!$C$9*'4、平时成绩'!$C87*0.01+'1、课程目标与考核方式'!$D$9*'4、平时成绩'!$D87*0.01+'1、课程目标与考核方式'!$E$9*'4、平时成绩'!$E87*0.01+'1、课程目标与考核方式'!$F$9*'4、平时成绩'!$F87*0.01+'1、课程目标与考核方式'!$G$9*'4、平时成绩'!$G87*0.01)/SUM('1、课程目标与考核方式'!$C$3:$G$3)</f>
        <v>0</v>
      </c>
      <c r="AA87">
        <f>('1、课程目标与考核方式'!$C$10*'4、平时成绩'!$C87*0.01+'1、课程目标与考核方式'!$D$10*'4、平时成绩'!$D87*0.01+'1、课程目标与考核方式'!$E$10*'4、平时成绩'!$E87*0.01+'1、课程目标与考核方式'!$F$10*'4、平时成绩'!$F87*0.01+'1、课程目标与考核方式'!$G$10*'4、平时成绩'!$G87*0.01)/SUM('1、课程目标与考核方式'!$C$3:$G$3)</f>
        <v>0</v>
      </c>
      <c r="AB87">
        <f>'3、期末成绩'!C87/'2、试卷（期末题目-课程目标）'!$C$2</f>
        <v>0</v>
      </c>
      <c r="AC87">
        <f>'3、期末成绩'!D87/'2、试卷（期末题目-课程目标）'!$C$3</f>
        <v>0</v>
      </c>
    </row>
    <row r="88" spans="10:29">
      <c r="J88" s="243" t="str">
        <f>IF(ISBLANK('3、期末成绩'!A88)," ",'3、期末成绩'!A88)</f>
        <v> </v>
      </c>
      <c r="K88" s="244" t="str">
        <f>IF(J88=" "," ",VLOOKUP(J88,'3、期末成绩'!$A$2:$B$201,2,FALSE))</f>
        <v> </v>
      </c>
      <c r="L88">
        <f>0.01*(T88*SUM('1、课程目标与考核方式'!$C$13:$G$13)+AB88*'1、课程目标与考核方式'!$H$13)</f>
        <v>0</v>
      </c>
      <c r="M88">
        <f>0.01*(U88*SUM('1、课程目标与考核方式'!$C$13:$G$13)+AC88*'1、课程目标与考核方式'!$H$13)</f>
        <v>0</v>
      </c>
      <c r="N88">
        <f>0.01*(V88*SUM('1、课程目标与考核方式'!$C$13:$G$13)+AD88*'1、课程目标与考核方式'!$H$13)</f>
        <v>0</v>
      </c>
      <c r="O88">
        <f>0.01*(W88*SUM('1、课程目标与考核方式'!$C$13:$G$13)+AE88*'1、课程目标与考核方式'!$H$13)</f>
        <v>0</v>
      </c>
      <c r="P88">
        <f>0.01*(X88*SUM('1、课程目标与考核方式'!$C$13:$G$13)+AF88*'1、课程目标与考核方式'!$H$13)</f>
        <v>0</v>
      </c>
      <c r="Q88">
        <f>0.01*(Y88*SUM('1、课程目标与考核方式'!$C$13:$G$13)+AG88*'1、课程目标与考核方式'!$H$13)</f>
        <v>0</v>
      </c>
      <c r="R88">
        <f>0.01*(Z88*SUM('1、课程目标与考核方式'!$C$13:$G$13)+AH88*'1、课程目标与考核方式'!$H$13)</f>
        <v>0</v>
      </c>
      <c r="S88">
        <f>0.01*(AA88*SUM('1、课程目标与考核方式'!$C$13:$G$13)+AI88*'1、课程目标与考核方式'!$H$13)</f>
        <v>0</v>
      </c>
      <c r="T88">
        <f>('1、课程目标与考核方式'!$C$3*'4、平时成绩'!$C88*0.01+'1、课程目标与考核方式'!$D$3*'4、平时成绩'!$D88*0.01+'1、课程目标与考核方式'!$E$3*'4、平时成绩'!$E88*0.01+'1、课程目标与考核方式'!$F$3*'4、平时成绩'!$F88*0.01+'1、课程目标与考核方式'!$G$3*'4、平时成绩'!$G88*0.01)/SUM('1、课程目标与考核方式'!$C$3:$G$3)</f>
        <v>0</v>
      </c>
      <c r="U88">
        <f>('1、课程目标与考核方式'!$C$4*'4、平时成绩'!$C88*0.01+'1、课程目标与考核方式'!$D$4*'4、平时成绩'!$D88*0.01+'1、课程目标与考核方式'!$E$4*'4、平时成绩'!$E88*0.01+'1、课程目标与考核方式'!$F$4*'4、平时成绩'!$F88*0.01+'1、课程目标与考核方式'!$G$4*'4、平时成绩'!$G88*0.01)/SUM('1、课程目标与考核方式'!$C$3:$G$3)</f>
        <v>0</v>
      </c>
      <c r="V88">
        <f>('1、课程目标与考核方式'!$C$5*'4、平时成绩'!$C88*0.01+'1、课程目标与考核方式'!$D$5*'4、平时成绩'!$D88*0.01+'1、课程目标与考核方式'!$E$5*'4、平时成绩'!$E88*0.01+'1、课程目标与考核方式'!$F$5*'4、平时成绩'!$F88*0.01+'1、课程目标与考核方式'!$G$5*'4、平时成绩'!$G88*0.01)/SUM('1、课程目标与考核方式'!$C$3:$G$3)</f>
        <v>0</v>
      </c>
      <c r="W88">
        <f>('1、课程目标与考核方式'!$C$6*'4、平时成绩'!$C88*0.01+'1、课程目标与考核方式'!$D$6*'4、平时成绩'!$D88*0.01+'1、课程目标与考核方式'!$E$6*'4、平时成绩'!$E88*0.01+'1、课程目标与考核方式'!$F$6*'4、平时成绩'!$F88*0.01+'1、课程目标与考核方式'!$G$6*'4、平时成绩'!$G88*0.01)/SUM('1、课程目标与考核方式'!$C$3:$G$3)</f>
        <v>0</v>
      </c>
      <c r="X88">
        <f>('1、课程目标与考核方式'!$C$7*'4、平时成绩'!$C88*0.01+'1、课程目标与考核方式'!$D$7*'4、平时成绩'!$D88*0.01+'1、课程目标与考核方式'!$E$7*'4、平时成绩'!$E88*0.01+'1、课程目标与考核方式'!$F$7*'4、平时成绩'!$F88*0.01+'1、课程目标与考核方式'!$G$7*'4、平时成绩'!$G88*0.01)/SUM('1、课程目标与考核方式'!$C$3:$G$3)</f>
        <v>0</v>
      </c>
      <c r="Y88">
        <f>('1、课程目标与考核方式'!$C$8*'4、平时成绩'!$C88*0.01+'1、课程目标与考核方式'!$D$8*'4、平时成绩'!$D88*0.01+'1、课程目标与考核方式'!$E$8*'4、平时成绩'!$E88*0.01+'1、课程目标与考核方式'!$F$8*'4、平时成绩'!$F88*0.01+'1、课程目标与考核方式'!$G$8*'4、平时成绩'!$G88*0.01)/SUM('1、课程目标与考核方式'!$C$3:$G$3)</f>
        <v>0</v>
      </c>
      <c r="Z88">
        <f>('1、课程目标与考核方式'!$C$9*'4、平时成绩'!$C88*0.01+'1、课程目标与考核方式'!$D$9*'4、平时成绩'!$D88*0.01+'1、课程目标与考核方式'!$E$9*'4、平时成绩'!$E88*0.01+'1、课程目标与考核方式'!$F$9*'4、平时成绩'!$F88*0.01+'1、课程目标与考核方式'!$G$9*'4、平时成绩'!$G88*0.01)/SUM('1、课程目标与考核方式'!$C$3:$G$3)</f>
        <v>0</v>
      </c>
      <c r="AA88">
        <f>('1、课程目标与考核方式'!$C$10*'4、平时成绩'!$C88*0.01+'1、课程目标与考核方式'!$D$10*'4、平时成绩'!$D88*0.01+'1、课程目标与考核方式'!$E$10*'4、平时成绩'!$E88*0.01+'1、课程目标与考核方式'!$F$10*'4、平时成绩'!$F88*0.01+'1、课程目标与考核方式'!$G$10*'4、平时成绩'!$G88*0.01)/SUM('1、课程目标与考核方式'!$C$3:$G$3)</f>
        <v>0</v>
      </c>
      <c r="AB88">
        <f>'3、期末成绩'!C88/'2、试卷（期末题目-课程目标）'!$C$2</f>
        <v>0</v>
      </c>
      <c r="AC88">
        <f>'3、期末成绩'!D88/'2、试卷（期末题目-课程目标）'!$C$3</f>
        <v>0</v>
      </c>
    </row>
    <row r="89" spans="10:29">
      <c r="J89" s="243" t="str">
        <f>IF(ISBLANK('3、期末成绩'!A89)," ",'3、期末成绩'!A89)</f>
        <v> </v>
      </c>
      <c r="K89" s="244" t="str">
        <f>IF(J89=" "," ",VLOOKUP(J89,'3、期末成绩'!$A$2:$B$201,2,FALSE))</f>
        <v> </v>
      </c>
      <c r="L89">
        <f>0.01*(T89*SUM('1、课程目标与考核方式'!$C$13:$G$13)+AB89*'1、课程目标与考核方式'!$H$13)</f>
        <v>0</v>
      </c>
      <c r="M89">
        <f>0.01*(U89*SUM('1、课程目标与考核方式'!$C$13:$G$13)+AC89*'1、课程目标与考核方式'!$H$13)</f>
        <v>0</v>
      </c>
      <c r="N89">
        <f>0.01*(V89*SUM('1、课程目标与考核方式'!$C$13:$G$13)+AD89*'1、课程目标与考核方式'!$H$13)</f>
        <v>0</v>
      </c>
      <c r="O89">
        <f>0.01*(W89*SUM('1、课程目标与考核方式'!$C$13:$G$13)+AE89*'1、课程目标与考核方式'!$H$13)</f>
        <v>0</v>
      </c>
      <c r="P89">
        <f>0.01*(X89*SUM('1、课程目标与考核方式'!$C$13:$G$13)+AF89*'1、课程目标与考核方式'!$H$13)</f>
        <v>0</v>
      </c>
      <c r="Q89">
        <f>0.01*(Y89*SUM('1、课程目标与考核方式'!$C$13:$G$13)+AG89*'1、课程目标与考核方式'!$H$13)</f>
        <v>0</v>
      </c>
      <c r="R89">
        <f>0.01*(Z89*SUM('1、课程目标与考核方式'!$C$13:$G$13)+AH89*'1、课程目标与考核方式'!$H$13)</f>
        <v>0</v>
      </c>
      <c r="S89">
        <f>0.01*(AA89*SUM('1、课程目标与考核方式'!$C$13:$G$13)+AI89*'1、课程目标与考核方式'!$H$13)</f>
        <v>0</v>
      </c>
      <c r="T89">
        <f>('1、课程目标与考核方式'!$C$3*'4、平时成绩'!$C89*0.01+'1、课程目标与考核方式'!$D$3*'4、平时成绩'!$D89*0.01+'1、课程目标与考核方式'!$E$3*'4、平时成绩'!$E89*0.01+'1、课程目标与考核方式'!$F$3*'4、平时成绩'!$F89*0.01+'1、课程目标与考核方式'!$G$3*'4、平时成绩'!$G89*0.01)/SUM('1、课程目标与考核方式'!$C$3:$G$3)</f>
        <v>0</v>
      </c>
      <c r="U89">
        <f>('1、课程目标与考核方式'!$C$4*'4、平时成绩'!$C89*0.01+'1、课程目标与考核方式'!$D$4*'4、平时成绩'!$D89*0.01+'1、课程目标与考核方式'!$E$4*'4、平时成绩'!$E89*0.01+'1、课程目标与考核方式'!$F$4*'4、平时成绩'!$F89*0.01+'1、课程目标与考核方式'!$G$4*'4、平时成绩'!$G89*0.01)/SUM('1、课程目标与考核方式'!$C$3:$G$3)</f>
        <v>0</v>
      </c>
      <c r="V89">
        <f>('1、课程目标与考核方式'!$C$5*'4、平时成绩'!$C89*0.01+'1、课程目标与考核方式'!$D$5*'4、平时成绩'!$D89*0.01+'1、课程目标与考核方式'!$E$5*'4、平时成绩'!$E89*0.01+'1、课程目标与考核方式'!$F$5*'4、平时成绩'!$F89*0.01+'1、课程目标与考核方式'!$G$5*'4、平时成绩'!$G89*0.01)/SUM('1、课程目标与考核方式'!$C$3:$G$3)</f>
        <v>0</v>
      </c>
      <c r="W89">
        <f>('1、课程目标与考核方式'!$C$6*'4、平时成绩'!$C89*0.01+'1、课程目标与考核方式'!$D$6*'4、平时成绩'!$D89*0.01+'1、课程目标与考核方式'!$E$6*'4、平时成绩'!$E89*0.01+'1、课程目标与考核方式'!$F$6*'4、平时成绩'!$F89*0.01+'1、课程目标与考核方式'!$G$6*'4、平时成绩'!$G89*0.01)/SUM('1、课程目标与考核方式'!$C$3:$G$3)</f>
        <v>0</v>
      </c>
      <c r="X89">
        <f>('1、课程目标与考核方式'!$C$7*'4、平时成绩'!$C89*0.01+'1、课程目标与考核方式'!$D$7*'4、平时成绩'!$D89*0.01+'1、课程目标与考核方式'!$E$7*'4、平时成绩'!$E89*0.01+'1、课程目标与考核方式'!$F$7*'4、平时成绩'!$F89*0.01+'1、课程目标与考核方式'!$G$7*'4、平时成绩'!$G89*0.01)/SUM('1、课程目标与考核方式'!$C$3:$G$3)</f>
        <v>0</v>
      </c>
      <c r="Y89">
        <f>('1、课程目标与考核方式'!$C$8*'4、平时成绩'!$C89*0.01+'1、课程目标与考核方式'!$D$8*'4、平时成绩'!$D89*0.01+'1、课程目标与考核方式'!$E$8*'4、平时成绩'!$E89*0.01+'1、课程目标与考核方式'!$F$8*'4、平时成绩'!$F89*0.01+'1、课程目标与考核方式'!$G$8*'4、平时成绩'!$G89*0.01)/SUM('1、课程目标与考核方式'!$C$3:$G$3)</f>
        <v>0</v>
      </c>
      <c r="Z89">
        <f>('1、课程目标与考核方式'!$C$9*'4、平时成绩'!$C89*0.01+'1、课程目标与考核方式'!$D$9*'4、平时成绩'!$D89*0.01+'1、课程目标与考核方式'!$E$9*'4、平时成绩'!$E89*0.01+'1、课程目标与考核方式'!$F$9*'4、平时成绩'!$F89*0.01+'1、课程目标与考核方式'!$G$9*'4、平时成绩'!$G89*0.01)/SUM('1、课程目标与考核方式'!$C$3:$G$3)</f>
        <v>0</v>
      </c>
      <c r="AA89">
        <f>('1、课程目标与考核方式'!$C$10*'4、平时成绩'!$C89*0.01+'1、课程目标与考核方式'!$D$10*'4、平时成绩'!$D89*0.01+'1、课程目标与考核方式'!$E$10*'4、平时成绩'!$E89*0.01+'1、课程目标与考核方式'!$F$10*'4、平时成绩'!$F89*0.01+'1、课程目标与考核方式'!$G$10*'4、平时成绩'!$G89*0.01)/SUM('1、课程目标与考核方式'!$C$3:$G$3)</f>
        <v>0</v>
      </c>
      <c r="AB89">
        <f>'3、期末成绩'!C89/'2、试卷（期末题目-课程目标）'!$C$2</f>
        <v>0</v>
      </c>
      <c r="AC89">
        <f>'3、期末成绩'!D89/'2、试卷（期末题目-课程目标）'!$C$3</f>
        <v>0</v>
      </c>
    </row>
    <row r="90" spans="10:29">
      <c r="J90" s="243" t="str">
        <f>IF(ISBLANK('3、期末成绩'!A90)," ",'3、期末成绩'!A90)</f>
        <v> </v>
      </c>
      <c r="K90" s="244" t="str">
        <f>IF(J90=" "," ",VLOOKUP(J90,'3、期末成绩'!$A$2:$B$201,2,FALSE))</f>
        <v> </v>
      </c>
      <c r="L90">
        <f>0.01*(T90*SUM('1、课程目标与考核方式'!$C$13:$G$13)+AB90*'1、课程目标与考核方式'!$H$13)</f>
        <v>0</v>
      </c>
      <c r="M90">
        <f>0.01*(U90*SUM('1、课程目标与考核方式'!$C$13:$G$13)+AC90*'1、课程目标与考核方式'!$H$13)</f>
        <v>0</v>
      </c>
      <c r="N90">
        <f>0.01*(V90*SUM('1、课程目标与考核方式'!$C$13:$G$13)+AD90*'1、课程目标与考核方式'!$H$13)</f>
        <v>0</v>
      </c>
      <c r="O90">
        <f>0.01*(W90*SUM('1、课程目标与考核方式'!$C$13:$G$13)+AE90*'1、课程目标与考核方式'!$H$13)</f>
        <v>0</v>
      </c>
      <c r="P90">
        <f>0.01*(X90*SUM('1、课程目标与考核方式'!$C$13:$G$13)+AF90*'1、课程目标与考核方式'!$H$13)</f>
        <v>0</v>
      </c>
      <c r="Q90">
        <f>0.01*(Y90*SUM('1、课程目标与考核方式'!$C$13:$G$13)+AG90*'1、课程目标与考核方式'!$H$13)</f>
        <v>0</v>
      </c>
      <c r="R90">
        <f>0.01*(Z90*SUM('1、课程目标与考核方式'!$C$13:$G$13)+AH90*'1、课程目标与考核方式'!$H$13)</f>
        <v>0</v>
      </c>
      <c r="S90">
        <f>0.01*(AA90*SUM('1、课程目标与考核方式'!$C$13:$G$13)+AI90*'1、课程目标与考核方式'!$H$13)</f>
        <v>0</v>
      </c>
      <c r="T90">
        <f>('1、课程目标与考核方式'!$C$3*'4、平时成绩'!$C90*0.01+'1、课程目标与考核方式'!$D$3*'4、平时成绩'!$D90*0.01+'1、课程目标与考核方式'!$E$3*'4、平时成绩'!$E90*0.01+'1、课程目标与考核方式'!$F$3*'4、平时成绩'!$F90*0.01+'1、课程目标与考核方式'!$G$3*'4、平时成绩'!$G90*0.01)/SUM('1、课程目标与考核方式'!$C$3:$G$3)</f>
        <v>0</v>
      </c>
      <c r="U90">
        <f>('1、课程目标与考核方式'!$C$4*'4、平时成绩'!$C90*0.01+'1、课程目标与考核方式'!$D$4*'4、平时成绩'!$D90*0.01+'1、课程目标与考核方式'!$E$4*'4、平时成绩'!$E90*0.01+'1、课程目标与考核方式'!$F$4*'4、平时成绩'!$F90*0.01+'1、课程目标与考核方式'!$G$4*'4、平时成绩'!$G90*0.01)/SUM('1、课程目标与考核方式'!$C$3:$G$3)</f>
        <v>0</v>
      </c>
      <c r="V90">
        <f>('1、课程目标与考核方式'!$C$5*'4、平时成绩'!$C90*0.01+'1、课程目标与考核方式'!$D$5*'4、平时成绩'!$D90*0.01+'1、课程目标与考核方式'!$E$5*'4、平时成绩'!$E90*0.01+'1、课程目标与考核方式'!$F$5*'4、平时成绩'!$F90*0.01+'1、课程目标与考核方式'!$G$5*'4、平时成绩'!$G90*0.01)/SUM('1、课程目标与考核方式'!$C$3:$G$3)</f>
        <v>0</v>
      </c>
      <c r="W90">
        <f>('1、课程目标与考核方式'!$C$6*'4、平时成绩'!$C90*0.01+'1、课程目标与考核方式'!$D$6*'4、平时成绩'!$D90*0.01+'1、课程目标与考核方式'!$E$6*'4、平时成绩'!$E90*0.01+'1、课程目标与考核方式'!$F$6*'4、平时成绩'!$F90*0.01+'1、课程目标与考核方式'!$G$6*'4、平时成绩'!$G90*0.01)/SUM('1、课程目标与考核方式'!$C$3:$G$3)</f>
        <v>0</v>
      </c>
      <c r="X90">
        <f>('1、课程目标与考核方式'!$C$7*'4、平时成绩'!$C90*0.01+'1、课程目标与考核方式'!$D$7*'4、平时成绩'!$D90*0.01+'1、课程目标与考核方式'!$E$7*'4、平时成绩'!$E90*0.01+'1、课程目标与考核方式'!$F$7*'4、平时成绩'!$F90*0.01+'1、课程目标与考核方式'!$G$7*'4、平时成绩'!$G90*0.01)/SUM('1、课程目标与考核方式'!$C$3:$G$3)</f>
        <v>0</v>
      </c>
      <c r="Y90">
        <f>('1、课程目标与考核方式'!$C$8*'4、平时成绩'!$C90*0.01+'1、课程目标与考核方式'!$D$8*'4、平时成绩'!$D90*0.01+'1、课程目标与考核方式'!$E$8*'4、平时成绩'!$E90*0.01+'1、课程目标与考核方式'!$F$8*'4、平时成绩'!$F90*0.01+'1、课程目标与考核方式'!$G$8*'4、平时成绩'!$G90*0.01)/SUM('1、课程目标与考核方式'!$C$3:$G$3)</f>
        <v>0</v>
      </c>
      <c r="Z90">
        <f>('1、课程目标与考核方式'!$C$9*'4、平时成绩'!$C90*0.01+'1、课程目标与考核方式'!$D$9*'4、平时成绩'!$D90*0.01+'1、课程目标与考核方式'!$E$9*'4、平时成绩'!$E90*0.01+'1、课程目标与考核方式'!$F$9*'4、平时成绩'!$F90*0.01+'1、课程目标与考核方式'!$G$9*'4、平时成绩'!$G90*0.01)/SUM('1、课程目标与考核方式'!$C$3:$G$3)</f>
        <v>0</v>
      </c>
      <c r="AA90">
        <f>('1、课程目标与考核方式'!$C$10*'4、平时成绩'!$C90*0.01+'1、课程目标与考核方式'!$D$10*'4、平时成绩'!$D90*0.01+'1、课程目标与考核方式'!$E$10*'4、平时成绩'!$E90*0.01+'1、课程目标与考核方式'!$F$10*'4、平时成绩'!$F90*0.01+'1、课程目标与考核方式'!$G$10*'4、平时成绩'!$G90*0.01)/SUM('1、课程目标与考核方式'!$C$3:$G$3)</f>
        <v>0</v>
      </c>
      <c r="AB90">
        <f>'3、期末成绩'!C90/'2、试卷（期末题目-课程目标）'!$C$2</f>
        <v>0</v>
      </c>
      <c r="AC90">
        <f>'3、期末成绩'!D90/'2、试卷（期末题目-课程目标）'!$C$3</f>
        <v>0</v>
      </c>
    </row>
  </sheetData>
  <sheetProtection selectLockedCells="1" selectUnlockedCells="1"/>
  <pageMargins left="0.75" right="0.75" top="1" bottom="1" header="0.5" footer="0.5"/>
  <pageSetup paperSize="9" orientation="portrait"/>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
  <sheetViews>
    <sheetView workbookViewId="0">
      <selection activeCell="J8" sqref="J8"/>
    </sheetView>
  </sheetViews>
  <sheetFormatPr defaultColWidth="8.66666666666667" defaultRowHeight="14"/>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FF0000"/>
  </sheetPr>
  <dimension ref="B2:H37"/>
  <sheetViews>
    <sheetView workbookViewId="0">
      <selection activeCell="E5" sqref="E5"/>
    </sheetView>
  </sheetViews>
  <sheetFormatPr defaultColWidth="8.66666666666667" defaultRowHeight="14" outlineLevelCol="7"/>
  <cols>
    <col min="1" max="1" width="7.44166666666667" style="210" customWidth="1"/>
    <col min="2" max="2" width="12.3333333333333" style="210" customWidth="1"/>
    <col min="3" max="3" width="6.88333333333333" style="210" customWidth="1"/>
    <col min="4" max="4" width="8.66666666666667" style="210"/>
    <col min="5" max="5" width="11.1083333333333" style="210" customWidth="1"/>
    <col min="6" max="6" width="9.775" style="210" customWidth="1"/>
    <col min="7" max="7" width="10.8833333333333" style="210" customWidth="1"/>
    <col min="8" max="8" width="10.6666666666667" style="210" customWidth="1"/>
    <col min="9" max="10" width="8.66666666666667" style="210"/>
    <col min="11" max="11" width="8.66666666666667" style="210" customWidth="1"/>
    <col min="12" max="16384" width="8.66666666666667" style="210"/>
  </cols>
  <sheetData>
    <row r="2" ht="14.1" customHeight="1" spans="2:8">
      <c r="B2" s="211" t="str">
        <f>"《"&amp;'1、课程目标与考核方式'!B1&amp;"》"</f>
        <v>《虚拟现实(22版)》</v>
      </c>
      <c r="C2" s="212"/>
      <c r="D2" s="212"/>
      <c r="E2" s="212"/>
      <c r="F2" s="213" t="s">
        <v>444</v>
      </c>
      <c r="G2" s="214"/>
      <c r="H2" s="214"/>
    </row>
    <row r="3" ht="14.1" customHeight="1" spans="2:8">
      <c r="B3" s="212"/>
      <c r="C3" s="212"/>
      <c r="D3" s="212"/>
      <c r="E3" s="212"/>
      <c r="F3" s="214"/>
      <c r="G3" s="214"/>
      <c r="H3" s="214"/>
    </row>
    <row r="4" spans="5:6">
      <c r="E4" s="215" t="s">
        <v>33</v>
      </c>
      <c r="F4" s="216">
        <f>'1、课程目标与考核方式'!D1</f>
        <v>52080105</v>
      </c>
    </row>
    <row r="6" ht="15.9" customHeight="1" spans="2:8">
      <c r="B6" s="217" t="s">
        <v>445</v>
      </c>
      <c r="C6" s="217"/>
      <c r="D6" s="217"/>
      <c r="E6" s="217"/>
      <c r="F6" s="217"/>
      <c r="G6" s="217"/>
      <c r="H6" s="217"/>
    </row>
    <row r="7" ht="15.9" customHeight="1" spans="2:8">
      <c r="B7" s="218" t="s">
        <v>446</v>
      </c>
      <c r="C7" s="219"/>
      <c r="D7" s="220" t="s">
        <v>447</v>
      </c>
      <c r="E7" s="217" t="s">
        <v>448</v>
      </c>
      <c r="F7" s="217"/>
      <c r="G7" s="217" t="s">
        <v>449</v>
      </c>
      <c r="H7" s="217"/>
    </row>
    <row r="8" ht="15.9" customHeight="1" spans="2:8">
      <c r="B8" s="221"/>
      <c r="C8" s="222"/>
      <c r="D8" s="223"/>
      <c r="E8" s="224">
        <f>SUM('1、课程目标与考核方式'!C13:G13)/'1、课程目标与考核方式'!I13</f>
        <v>0.350649350649351</v>
      </c>
      <c r="F8" s="224"/>
      <c r="G8" s="224">
        <f>SUM('1、课程目标与考核方式'!H13/'1、课程目标与考核方式'!I13)</f>
        <v>0.649350649350649</v>
      </c>
      <c r="H8" s="224"/>
    </row>
    <row r="9" ht="15.9" customHeight="1" spans="2:8">
      <c r="B9" s="225"/>
      <c r="C9" s="226"/>
      <c r="D9" s="227"/>
      <c r="E9" s="217" t="s">
        <v>450</v>
      </c>
      <c r="F9" s="217" t="s">
        <v>451</v>
      </c>
      <c r="G9" s="217" t="s">
        <v>450</v>
      </c>
      <c r="H9" s="217" t="s">
        <v>451</v>
      </c>
    </row>
    <row r="10" ht="15.9" customHeight="1" spans="2:8">
      <c r="B10" s="228" t="s">
        <v>452</v>
      </c>
      <c r="C10" s="229">
        <v>4.3</v>
      </c>
      <c r="D10" s="229">
        <v>0.2</v>
      </c>
      <c r="E10" s="230">
        <f>IF(ISBLANK(C10)," ",SUMIF('1、课程目标与考核方式'!$B$3:$B$12,'7、自动毕业达成度评价表'!C10,'1、课程目标与考核方式'!$C$3:$C$12)+SUMIF('1、课程目标与考核方式'!$B$3:$B$12,'7、自动毕业达成度评价表'!C10,'1、课程目标与考核方式'!$D$3:$D$12)+SUMIF('1、课程目标与考核方式'!$B$3:$B$12,'7、自动毕业达成度评价表'!C10,'1、课程目标与考核方式'!$E$3:$E$12)+SUMIF('1、课程目标与考核方式'!$B$3:$B$12,'7、自动毕业达成度评价表'!C10,'1、课程目标与考核方式'!$F$3:$F$12)+SUMIF('1、课程目标与考核方式'!$B$3:$B$12,'7、自动毕业达成度评价表'!C10,'1、课程目标与考核方式'!$G$3:$G$12))</f>
        <v>0</v>
      </c>
      <c r="F10" s="231">
        <f ca="1">IF(ISBLANK(C10)," ",SUMIF(平均分统计表!$A$2:$A$11,'7、自动毕业达成度评价表'!C10,平均分统计表!$H$2:$H$11))</f>
        <v>0</v>
      </c>
      <c r="G10" s="230">
        <f>IF(ISBLANK(C10)," ",SUMIF('1、课程目标与考核方式'!$B$3:$B$12,'7、自动毕业达成度评价表'!C10,'1、课程目标与考核方式'!$K$3:$K$12))</f>
        <v>0</v>
      </c>
      <c r="H10" s="231">
        <f ca="1">IF(ISBLANK(C10)," ",SUMIF(平均分统计表!$A$2:$A$11,'7、自动毕业达成度评价表'!C10,平均分统计表!$I$2:$I$11)*$G$8)</f>
        <v>0</v>
      </c>
    </row>
    <row r="11" ht="15.9" customHeight="1" spans="2:8">
      <c r="B11" s="228" t="s">
        <v>452</v>
      </c>
      <c r="C11" s="229">
        <v>6.2</v>
      </c>
      <c r="D11" s="229">
        <v>0.1</v>
      </c>
      <c r="E11" s="230">
        <f>IF(ISBLANK(C11)," ",SUMIF('1、课程目标与考核方式'!$B$3:$B$12,'7、自动毕业达成度评价表'!C11,'1、课程目标与考核方式'!$C$3:$C$12)+SUMIF('1、课程目标与考核方式'!$B$3:$B$12,'7、自动毕业达成度评价表'!C11,'1、课程目标与考核方式'!$D$3:$D$12)+SUMIF('1、课程目标与考核方式'!$B$3:$B$12,'7、自动毕业达成度评价表'!C11,'1、课程目标与考核方式'!$E$3:$E$12)+SUMIF('1、课程目标与考核方式'!$B$3:$B$12,'7、自动毕业达成度评价表'!C11,'1、课程目标与考核方式'!$F$3:$F$12)+SUMIF('1、课程目标与考核方式'!$B$3:$B$12,'7、自动毕业达成度评价表'!C11,'1、课程目标与考核方式'!$G$3:$G$12))</f>
        <v>0</v>
      </c>
      <c r="F11" s="231">
        <f ca="1">IF(ISBLANK(C11)," ",SUMIF(平均分统计表!$A$2:$A$11,'7、自动毕业达成度评价表'!C11,平均分统计表!$H$2:$H$11))</f>
        <v>0</v>
      </c>
      <c r="G11" s="230">
        <f>IF(ISBLANK(C11)," ",SUMIF('1、课程目标与考核方式'!$B$3:$B$12,'7、自动毕业达成度评价表'!C11,'1、课程目标与考核方式'!$K$3:$K$12))</f>
        <v>0</v>
      </c>
      <c r="H11" s="231">
        <f ca="1">IF(ISBLANK(C11)," ",SUMIF(平均分统计表!$A$2:$A$11,'7、自动毕业达成度评价表'!C11,平均分统计表!$I$2:$I$11)*$G$8)</f>
        <v>0</v>
      </c>
    </row>
    <row r="12" ht="15.9" customHeight="1" spans="2:8">
      <c r="B12" s="228" t="s">
        <v>452</v>
      </c>
      <c r="C12" s="229">
        <v>8.1</v>
      </c>
      <c r="D12" s="229">
        <v>0.3</v>
      </c>
      <c r="E12" s="230">
        <f>IF(ISBLANK(C12)," ",SUMIF('1、课程目标与考核方式'!$B$3:$B$12,'7、自动毕业达成度评价表'!C12,'1、课程目标与考核方式'!$C$3:$C$12)+SUMIF('1、课程目标与考核方式'!$B$3:$B$12,'7、自动毕业达成度评价表'!C12,'1、课程目标与考核方式'!$D$3:$D$12)+SUMIF('1、课程目标与考核方式'!$B$3:$B$12,'7、自动毕业达成度评价表'!C12,'1、课程目标与考核方式'!$E$3:$E$12)+SUMIF('1、课程目标与考核方式'!$B$3:$B$12,'7、自动毕业达成度评价表'!C12,'1、课程目标与考核方式'!$F$3:$F$12)+SUMIF('1、课程目标与考核方式'!$B$3:$B$12,'7、自动毕业达成度评价表'!C12,'1、课程目标与考核方式'!$G$3:$G$12))</f>
        <v>0</v>
      </c>
      <c r="F12" s="231">
        <f ca="1">IF(ISBLANK(C12)," ",SUMIF(平均分统计表!$A$2:$A$11,'7、自动毕业达成度评价表'!C12,平均分统计表!$H$2:$H$11))</f>
        <v>0</v>
      </c>
      <c r="G12" s="230">
        <f>IF(ISBLANK(C12)," ",SUMIF('1、课程目标与考核方式'!$B$3:$B$12,'7、自动毕业达成度评价表'!C12,'1、课程目标与考核方式'!$K$3:$K$12))</f>
        <v>0</v>
      </c>
      <c r="H12" s="231">
        <f ca="1">IF(ISBLANK(C12)," ",SUMIF(平均分统计表!$A$2:$A$11,'7、自动毕业达成度评价表'!C12,平均分统计表!$I$2:$I$11)*$G$8)</f>
        <v>0</v>
      </c>
    </row>
    <row r="13" ht="15.9" customHeight="1" spans="2:8">
      <c r="B13" s="232"/>
      <c r="C13" s="233"/>
      <c r="D13" s="233"/>
      <c r="E13" s="230" t="str">
        <f>IF(ISBLANK(C13)," ",SUMIF('1、课程目标与考核方式'!$B$3:$B$12,'7、自动毕业达成度评价表'!C13,'1、课程目标与考核方式'!$C$3:$C$12)+SUMIF('1、课程目标与考核方式'!$B$3:$B$12,'7、自动毕业达成度评价表'!C13,'1、课程目标与考核方式'!$D$3:$D$12)+SUMIF('1、课程目标与考核方式'!$B$3:$B$12,'7、自动毕业达成度评价表'!C13,'1、课程目标与考核方式'!$E$3:$E$12)+SUMIF('1、课程目标与考核方式'!$B$3:$B$12,'7、自动毕业达成度评价表'!C13,'1、课程目标与考核方式'!$F$3:$F$12)+SUMIF('1、课程目标与考核方式'!$B$3:$B$12,'7、自动毕业达成度评价表'!C13,'1、课程目标与考核方式'!$G$3:$G$12))</f>
        <v> </v>
      </c>
      <c r="F13" s="231" t="str">
        <f ca="1">IF(ISBLANK(C13)," ",SUMIF(平均分统计表!$A$2:$A$11,'7、自动毕业达成度评价表'!C13,平均分统计表!$H$2:$H$11))</f>
        <v> </v>
      </c>
      <c r="G13" s="230" t="str">
        <f>IF(ISBLANK(C13)," ",SUMIF('1、课程目标与考核方式'!$B$3:$B$12,'7、自动毕业达成度评价表'!C13,'1、课程目标与考核方式'!$K$3:$K$12))</f>
        <v> </v>
      </c>
      <c r="H13" s="231" t="str">
        <f ca="1">IF(ISBLANK(C13)," ",SUMIF(平均分统计表!$A$2:$A$11,'7、自动毕业达成度评价表'!C13,平均分统计表!$I$2:$I$11)*$G$8)</f>
        <v> </v>
      </c>
    </row>
    <row r="14" ht="15.9" customHeight="1" spans="2:8">
      <c r="B14" s="232"/>
      <c r="C14" s="234"/>
      <c r="D14" s="234"/>
      <c r="E14" s="230" t="str">
        <f>IF(ISBLANK(C14)," ",SUMIF('1、课程目标与考核方式'!$B$3:$B$12,'7、自动毕业达成度评价表'!C14,'1、课程目标与考核方式'!$C$3:$C$12)+SUMIF('1、课程目标与考核方式'!$B$3:$B$12,'7、自动毕业达成度评价表'!C14,'1、课程目标与考核方式'!$D$3:$D$12)+SUMIF('1、课程目标与考核方式'!$B$3:$B$12,'7、自动毕业达成度评价表'!C14,'1、课程目标与考核方式'!$E$3:$E$12)+SUMIF('1、课程目标与考核方式'!$B$3:$B$12,'7、自动毕业达成度评价表'!C14,'1、课程目标与考核方式'!$F$3:$F$12)+SUMIF('1、课程目标与考核方式'!$B$3:$B$12,'7、自动毕业达成度评价表'!C14,'1、课程目标与考核方式'!$G$3:$G$12))</f>
        <v> </v>
      </c>
      <c r="F14" s="231" t="str">
        <f ca="1">IF(ISBLANK(C14)," ",SUMIF(平均分统计表!$A$2:$A$11,'7、自动毕业达成度评价表'!C14,平均分统计表!$H$2:$H$11))</f>
        <v> </v>
      </c>
      <c r="G14" s="230" t="str">
        <f>IF(ISBLANK(C14)," ",SUMIF('1、课程目标与考核方式'!$B$3:$B$12,'7、自动毕业达成度评价表'!C14,'1、课程目标与考核方式'!$K$3:$K$12))</f>
        <v> </v>
      </c>
      <c r="H14" s="231" t="str">
        <f ca="1">IF(ISBLANK(C14)," ",SUMIF(平均分统计表!$A$2:$A$11,'7、自动毕业达成度评价表'!C14,平均分统计表!$I$2:$I$11)*$G$8)</f>
        <v> </v>
      </c>
    </row>
    <row r="15" ht="15.9" customHeight="1" spans="2:8">
      <c r="B15" s="235"/>
      <c r="C15" s="234"/>
      <c r="D15" s="234"/>
      <c r="E15" s="230" t="str">
        <f>IF(ISBLANK(C15)," ",SUMIF('1、课程目标与考核方式'!$B$3:$B$12,'7、自动毕业达成度评价表'!C15,'1、课程目标与考核方式'!$C$3:$C$12)+SUMIF('1、课程目标与考核方式'!$B$3:$B$12,'7、自动毕业达成度评价表'!C15,'1、课程目标与考核方式'!$D$3:$D$12)+SUMIF('1、课程目标与考核方式'!$B$3:$B$12,'7、自动毕业达成度评价表'!C15,'1、课程目标与考核方式'!$E$3:$E$12)+SUMIF('1、课程目标与考核方式'!$B$3:$B$12,'7、自动毕业达成度评价表'!C15,'1、课程目标与考核方式'!$F$3:$F$12)+SUMIF('1、课程目标与考核方式'!$B$3:$B$12,'7、自动毕业达成度评价表'!C15,'1、课程目标与考核方式'!$G$3:$G$12))</f>
        <v> </v>
      </c>
      <c r="F15" s="231" t="str">
        <f ca="1">IF(ISBLANK(C15)," ",SUMIF(平均分统计表!$A$2:$A$11,'7、自动毕业达成度评价表'!C15,平均分统计表!$H$2:$H$11))</f>
        <v> </v>
      </c>
      <c r="G15" s="230" t="str">
        <f>IF(ISBLANK(C15)," ",SUMIF('1、课程目标与考核方式'!$B$3:$B$12,'7、自动毕业达成度评价表'!C15,'1、课程目标与考核方式'!$K$3:$K$12))</f>
        <v> </v>
      </c>
      <c r="H15" s="231" t="str">
        <f ca="1">IF(ISBLANK(C15)," ",SUMIF(平均分统计表!$A$2:$A$11,'7、自动毕业达成度评价表'!C15,平均分统计表!$I$2:$I$11)*$G$8)</f>
        <v> </v>
      </c>
    </row>
    <row r="16" ht="15.9" customHeight="1" spans="2:8">
      <c r="B16" s="235"/>
      <c r="C16" s="234"/>
      <c r="D16" s="234"/>
      <c r="E16" s="230" t="str">
        <f>IF(ISBLANK(C16)," ",SUMIF('1、课程目标与考核方式'!$B$3:$B$12,'7、自动毕业达成度评价表'!C16,'1、课程目标与考核方式'!$C$3:$C$12)+SUMIF('1、课程目标与考核方式'!$B$3:$B$12,'7、自动毕业达成度评价表'!C16,'1、课程目标与考核方式'!$D$3:$D$12)+SUMIF('1、课程目标与考核方式'!$B$3:$B$12,'7、自动毕业达成度评价表'!C16,'1、课程目标与考核方式'!$E$3:$E$12)+SUMIF('1、课程目标与考核方式'!$B$3:$B$12,'7、自动毕业达成度评价表'!C16,'1、课程目标与考核方式'!$F$3:$F$12)+SUMIF('1、课程目标与考核方式'!$B$3:$B$12,'7、自动毕业达成度评价表'!C16,'1、课程目标与考核方式'!$G$3:$G$12))</f>
        <v> </v>
      </c>
      <c r="F16" s="231" t="str">
        <f ca="1">IF(ISBLANK(C16)," ",SUMIF(平均分统计表!$A$2:$A$11,'7、自动毕业达成度评价表'!C16,平均分统计表!$H$2:$H$11))</f>
        <v> </v>
      </c>
      <c r="G16" s="230" t="str">
        <f>IF(ISBLANK(C16)," ",SUMIF('1、课程目标与考核方式'!$B$3:$B$12,'7、自动毕业达成度评价表'!C16,'1、课程目标与考核方式'!$K$3:$K$12))</f>
        <v> </v>
      </c>
      <c r="H16" s="231" t="str">
        <f ca="1">IF(ISBLANK(C16)," ",SUMIF(平均分统计表!$A$2:$A$11,'7、自动毕业达成度评价表'!C16,平均分统计表!$I$2:$I$11)*$G$8)</f>
        <v> </v>
      </c>
    </row>
    <row r="17" ht="15.9" customHeight="1" spans="2:8">
      <c r="B17" s="235"/>
      <c r="C17" s="234"/>
      <c r="D17" s="234"/>
      <c r="E17" s="230" t="str">
        <f>IF(ISBLANK(C17)," ",SUMIF('1、课程目标与考核方式'!$B$3:$B$12,'7、自动毕业达成度评价表'!C17,'1、课程目标与考核方式'!$C$3:$C$12)+SUMIF('1、课程目标与考核方式'!$B$3:$B$12,'7、自动毕业达成度评价表'!C17,'1、课程目标与考核方式'!$D$3:$D$12)+SUMIF('1、课程目标与考核方式'!$B$3:$B$12,'7、自动毕业达成度评价表'!C17,'1、课程目标与考核方式'!$E$3:$E$12)+SUMIF('1、课程目标与考核方式'!$B$3:$B$12,'7、自动毕业达成度评价表'!C17,'1、课程目标与考核方式'!$F$3:$F$12)+SUMIF('1、课程目标与考核方式'!$B$3:$B$12,'7、自动毕业达成度评价表'!C17,'1、课程目标与考核方式'!$G$3:$G$12))</f>
        <v> </v>
      </c>
      <c r="F17" s="231" t="str">
        <f ca="1">IF(ISBLANK(C17)," ",SUMIF(平均分统计表!$A$2:$A$11,'7、自动毕业达成度评价表'!C17,平均分统计表!$H$2:$H$11))</f>
        <v> </v>
      </c>
      <c r="G17" s="230" t="str">
        <f>IF(ISBLANK(C17)," ",SUMIF('1、课程目标与考核方式'!$B$3:$B$12,'7、自动毕业达成度评价表'!C17,'1、课程目标与考核方式'!$K$3:$K$12))</f>
        <v> </v>
      </c>
      <c r="H17" s="231" t="str">
        <f ca="1">IF(ISBLANK(C17)," ",SUMIF(平均分统计表!$A$2:$A$11,'7、自动毕业达成度评价表'!C17,平均分统计表!$I$2:$I$11)*$G$8)</f>
        <v> </v>
      </c>
    </row>
    <row r="18" ht="15.9" customHeight="1" spans="2:8">
      <c r="B18" s="235"/>
      <c r="C18" s="234"/>
      <c r="D18" s="234"/>
      <c r="E18" s="230" t="str">
        <f>IF(ISBLANK(C18)," ",SUMIF('1、课程目标与考核方式'!$B$3:$B$12,'7、自动毕业达成度评价表'!C18,'1、课程目标与考核方式'!$C$3:$C$12)+SUMIF('1、课程目标与考核方式'!$B$3:$B$12,'7、自动毕业达成度评价表'!C18,'1、课程目标与考核方式'!$D$3:$D$12)+SUMIF('1、课程目标与考核方式'!$B$3:$B$12,'7、自动毕业达成度评价表'!C18,'1、课程目标与考核方式'!$E$3:$E$12)+SUMIF('1、课程目标与考核方式'!$B$3:$B$12,'7、自动毕业达成度评价表'!C18,'1、课程目标与考核方式'!$F$3:$F$12)+SUMIF('1、课程目标与考核方式'!$B$3:$B$12,'7、自动毕业达成度评价表'!C18,'1、课程目标与考核方式'!$G$3:$G$12))</f>
        <v> </v>
      </c>
      <c r="F18" s="231" t="str">
        <f ca="1">IF(ISBLANK(C18)," ",SUMIF(平均分统计表!$A$2:$A$11,'7、自动毕业达成度评价表'!C18,平均分统计表!$H$2:$H$11))</f>
        <v> </v>
      </c>
      <c r="G18" s="230" t="str">
        <f>IF(ISBLANK(C18)," ",SUMIF('1、课程目标与考核方式'!$B$3:$B$12,'7、自动毕业达成度评价表'!C18,'1、课程目标与考核方式'!$K$3:$K$12))</f>
        <v> </v>
      </c>
      <c r="H18" s="231" t="str">
        <f ca="1">IF(ISBLANK(C18)," ",SUMIF(平均分统计表!$A$2:$A$11,'7、自动毕业达成度评价表'!C18,平均分统计表!$I$2:$I$11)*$G$8)</f>
        <v> </v>
      </c>
    </row>
    <row r="19" ht="15.9" customHeight="1" spans="2:8">
      <c r="B19" s="235"/>
      <c r="C19" s="234"/>
      <c r="D19" s="234"/>
      <c r="E19" s="230" t="str">
        <f>IF(ISBLANK(C19)," ",SUMIF('1、课程目标与考核方式'!$B$3:$B$12,'7、自动毕业达成度评价表'!C19,'1、课程目标与考核方式'!$C$3:$C$12)+SUMIF('1、课程目标与考核方式'!$B$3:$B$12,'7、自动毕业达成度评价表'!C19,'1、课程目标与考核方式'!$D$3:$D$12)+SUMIF('1、课程目标与考核方式'!$B$3:$B$12,'7、自动毕业达成度评价表'!C19,'1、课程目标与考核方式'!$E$3:$E$12)+SUMIF('1、课程目标与考核方式'!$B$3:$B$12,'7、自动毕业达成度评价表'!C19,'1、课程目标与考核方式'!$F$3:$F$12)+SUMIF('1、课程目标与考核方式'!$B$3:$B$12,'7、自动毕业达成度评价表'!C19,'1、课程目标与考核方式'!$G$3:$G$12))</f>
        <v> </v>
      </c>
      <c r="F19" s="231" t="str">
        <f ca="1">IF(ISBLANK(C19)," ",SUMIF(平均分统计表!$A$2:$A$11,'7、自动毕业达成度评价表'!C19,平均分统计表!$H$2:$H$11))</f>
        <v> </v>
      </c>
      <c r="G19" s="230" t="str">
        <f>IF(ISBLANK(C19)," ",SUMIF('1、课程目标与考核方式'!$B$3:$B$12,'7、自动毕业达成度评价表'!C19,'1、课程目标与考核方式'!$K$3:$K$12))</f>
        <v> </v>
      </c>
      <c r="H19" s="231" t="str">
        <f ca="1">IF(ISBLANK(C19)," ",SUMIF(平均分统计表!$A$2:$A$11,'7、自动毕业达成度评价表'!C19,平均分统计表!$I$2:$I$11)*$G$8)</f>
        <v> </v>
      </c>
    </row>
    <row r="21" ht="15.9" customHeight="1" spans="2:8">
      <c r="B21" s="217" t="s">
        <v>453</v>
      </c>
      <c r="C21" s="217"/>
      <c r="D21" s="217"/>
      <c r="E21" s="217"/>
      <c r="F21" s="217"/>
      <c r="G21" s="217"/>
      <c r="H21" s="217"/>
    </row>
    <row r="22" ht="30" customHeight="1" spans="2:8">
      <c r="B22" s="236" t="s">
        <v>446</v>
      </c>
      <c r="C22" s="236"/>
      <c r="D22" s="236" t="s">
        <v>447</v>
      </c>
      <c r="E22" s="236" t="s">
        <v>454</v>
      </c>
      <c r="F22" s="236" t="s">
        <v>455</v>
      </c>
      <c r="G22" s="236" t="s">
        <v>456</v>
      </c>
      <c r="H22" s="236"/>
    </row>
    <row r="23" ht="15.9" customHeight="1" spans="2:8">
      <c r="B23" s="217" t="str">
        <f>IF(ISBLANK(C10)," ",B10&amp;C10)</f>
        <v>支撑毕业要求4.3</v>
      </c>
      <c r="C23" s="217"/>
      <c r="D23" s="230">
        <f>IF(B23=" "," ",D10)</f>
        <v>0.2</v>
      </c>
      <c r="E23" s="230">
        <f>IF(B23=" "," ",E10+G10)</f>
        <v>0</v>
      </c>
      <c r="F23" s="237">
        <f ca="1">IF(B23=" "," ",F10+H10)</f>
        <v>0</v>
      </c>
      <c r="G23" s="238" t="e">
        <f ca="1">IF(B23=" "," ",F23/E23*D23)</f>
        <v>#DIV/0!</v>
      </c>
      <c r="H23" s="238"/>
    </row>
    <row r="24" ht="15.9" customHeight="1" spans="2:8">
      <c r="B24" s="217" t="str">
        <f t="shared" ref="B24" si="0">IF(ISBLANK(C11)," ",B11&amp;C11)</f>
        <v>支撑毕业要求6.2</v>
      </c>
      <c r="C24" s="217"/>
      <c r="D24" s="230">
        <f t="shared" ref="D24" si="1">IF(B24=" "," ",D11)</f>
        <v>0.1</v>
      </c>
      <c r="E24" s="230">
        <f t="shared" ref="E24" si="2">IF(B24=" "," ",E11+G11)</f>
        <v>0</v>
      </c>
      <c r="F24" s="237">
        <f ca="1" t="shared" ref="F24" si="3">IF(B24=" "," ",F11+H11)</f>
        <v>0</v>
      </c>
      <c r="G24" s="238" t="e">
        <f ca="1" t="shared" ref="G24" si="4">IF(B24=" "," ",F24/E24*D24)</f>
        <v>#DIV/0!</v>
      </c>
      <c r="H24" s="238"/>
    </row>
    <row r="25" ht="15.9" customHeight="1" spans="2:8">
      <c r="B25" s="217" t="str">
        <f t="shared" ref="B25" si="5">IF(ISBLANK(C12)," ",B12&amp;C12)</f>
        <v>支撑毕业要求8.1</v>
      </c>
      <c r="C25" s="217"/>
      <c r="D25" s="230">
        <f t="shared" ref="D25" si="6">IF(B25=" "," ",D12)</f>
        <v>0.3</v>
      </c>
      <c r="E25" s="230">
        <f t="shared" ref="E25" si="7">IF(B25=" "," ",E12+G12)</f>
        <v>0</v>
      </c>
      <c r="F25" s="237">
        <f ca="1" t="shared" ref="F25" si="8">IF(B25=" "," ",F12+H12)</f>
        <v>0</v>
      </c>
      <c r="G25" s="238" t="e">
        <f ca="1" t="shared" ref="G25" si="9">IF(B25=" "," ",F25/E25*D25)</f>
        <v>#DIV/0!</v>
      </c>
      <c r="H25" s="238"/>
    </row>
    <row r="26" ht="15.9" customHeight="1" spans="2:8">
      <c r="B26" s="217" t="str">
        <f t="shared" ref="B26" si="10">IF(ISBLANK(C13)," ",B13&amp;C13)</f>
        <v> </v>
      </c>
      <c r="C26" s="217"/>
      <c r="D26" s="230" t="str">
        <f t="shared" ref="D26" si="11">IF(B26=" "," ",D13)</f>
        <v> </v>
      </c>
      <c r="E26" s="230" t="str">
        <f t="shared" ref="E26" si="12">IF(B26=" "," ",E13+G13)</f>
        <v> </v>
      </c>
      <c r="F26" s="237" t="str">
        <f ca="1" t="shared" ref="F26" si="13">IF(B26=" "," ",F13+H13)</f>
        <v> </v>
      </c>
      <c r="G26" s="238" t="str">
        <f ca="1" t="shared" ref="G26" si="14">IF(B26=" "," ",F26/E26*D26)</f>
        <v> </v>
      </c>
      <c r="H26" s="238"/>
    </row>
    <row r="27" ht="15.9" customHeight="1" spans="2:8">
      <c r="B27" s="217" t="str">
        <f t="shared" ref="B27:B32" si="15">IF(ISBLANK(C14)," ",B14&amp;C14)</f>
        <v> </v>
      </c>
      <c r="C27" s="217"/>
      <c r="D27" s="230" t="str">
        <f t="shared" ref="D27:D32" si="16">IF(B27=" "," ",D14)</f>
        <v> </v>
      </c>
      <c r="E27" s="230" t="str">
        <f t="shared" ref="E27:E32" si="17">IF(B27=" "," ",E14+G14)</f>
        <v> </v>
      </c>
      <c r="F27" s="237" t="str">
        <f ca="1" t="shared" ref="F27:F32" si="18">IF(B27=" "," ",F14+H14)</f>
        <v> </v>
      </c>
      <c r="G27" s="238" t="str">
        <f ca="1" t="shared" ref="G27:G32" si="19">IF(B27=" "," ",F27/E27*D27)</f>
        <v> </v>
      </c>
      <c r="H27" s="238"/>
    </row>
    <row r="28" ht="15.9" customHeight="1" spans="2:8">
      <c r="B28" s="217" t="str">
        <f t="shared" si="15"/>
        <v> </v>
      </c>
      <c r="C28" s="217"/>
      <c r="D28" s="230" t="str">
        <f t="shared" si="16"/>
        <v> </v>
      </c>
      <c r="E28" s="230" t="str">
        <f t="shared" si="17"/>
        <v> </v>
      </c>
      <c r="F28" s="237" t="str">
        <f ca="1" t="shared" si="18"/>
        <v> </v>
      </c>
      <c r="G28" s="238" t="str">
        <f ca="1" t="shared" si="19"/>
        <v> </v>
      </c>
      <c r="H28" s="238"/>
    </row>
    <row r="29" ht="15.9" customHeight="1" spans="2:8">
      <c r="B29" s="217" t="str">
        <f t="shared" si="15"/>
        <v> </v>
      </c>
      <c r="C29" s="217"/>
      <c r="D29" s="230" t="str">
        <f t="shared" si="16"/>
        <v> </v>
      </c>
      <c r="E29" s="230" t="str">
        <f t="shared" si="17"/>
        <v> </v>
      </c>
      <c r="F29" s="237" t="str">
        <f ca="1" t="shared" si="18"/>
        <v> </v>
      </c>
      <c r="G29" s="238" t="str">
        <f ca="1" t="shared" si="19"/>
        <v> </v>
      </c>
      <c r="H29" s="238"/>
    </row>
    <row r="30" ht="15.9" customHeight="1" spans="2:8">
      <c r="B30" s="217" t="str">
        <f t="shared" si="15"/>
        <v> </v>
      </c>
      <c r="C30" s="217"/>
      <c r="D30" s="230" t="str">
        <f t="shared" si="16"/>
        <v> </v>
      </c>
      <c r="E30" s="230" t="str">
        <f t="shared" si="17"/>
        <v> </v>
      </c>
      <c r="F30" s="237" t="str">
        <f ca="1" t="shared" si="18"/>
        <v> </v>
      </c>
      <c r="G30" s="238" t="str">
        <f ca="1" t="shared" si="19"/>
        <v> </v>
      </c>
      <c r="H30" s="238"/>
    </row>
    <row r="31" ht="15.9" customHeight="1" spans="2:8">
      <c r="B31" s="217" t="str">
        <f t="shared" si="15"/>
        <v> </v>
      </c>
      <c r="C31" s="217"/>
      <c r="D31" s="230" t="str">
        <f t="shared" si="16"/>
        <v> </v>
      </c>
      <c r="E31" s="230" t="str">
        <f t="shared" si="17"/>
        <v> </v>
      </c>
      <c r="F31" s="237" t="str">
        <f ca="1" t="shared" si="18"/>
        <v> </v>
      </c>
      <c r="G31" s="238" t="str">
        <f ca="1" t="shared" si="19"/>
        <v> </v>
      </c>
      <c r="H31" s="238"/>
    </row>
    <row r="32" ht="15.9" customHeight="1" spans="2:8">
      <c r="B32" s="217" t="str">
        <f t="shared" si="15"/>
        <v> </v>
      </c>
      <c r="C32" s="217"/>
      <c r="D32" s="230" t="str">
        <f t="shared" si="16"/>
        <v> </v>
      </c>
      <c r="E32" s="230" t="str">
        <f t="shared" si="17"/>
        <v> </v>
      </c>
      <c r="F32" s="237" t="str">
        <f ca="1" t="shared" si="18"/>
        <v> </v>
      </c>
      <c r="G32" s="238" t="str">
        <f ca="1" t="shared" si="19"/>
        <v> </v>
      </c>
      <c r="H32" s="238"/>
    </row>
    <row r="34" ht="30" customHeight="1" spans="6:8">
      <c r="F34" s="239" t="s">
        <v>457</v>
      </c>
      <c r="G34" s="240" t="s">
        <v>458</v>
      </c>
      <c r="H34" s="216"/>
    </row>
    <row r="35" ht="30" customHeight="1" spans="6:8">
      <c r="F35" s="239" t="s">
        <v>459</v>
      </c>
      <c r="G35" s="240" t="s">
        <v>458</v>
      </c>
      <c r="H35" s="216"/>
    </row>
    <row r="36" ht="30" customHeight="1" spans="6:8">
      <c r="F36" s="239" t="s">
        <v>460</v>
      </c>
      <c r="G36" s="240" t="s">
        <v>458</v>
      </c>
      <c r="H36" s="216"/>
    </row>
    <row r="37" ht="30" customHeight="1" spans="6:8">
      <c r="F37" s="239" t="s">
        <v>461</v>
      </c>
      <c r="G37" s="240" t="s">
        <v>458</v>
      </c>
      <c r="H37" s="216"/>
    </row>
  </sheetData>
  <sheetProtection formatCells="0" insertRows="0" insertColumns="0" insertHyperlinks="0" deleteColumns="0" deleteRows="0"/>
  <protectedRanges>
    <protectedRange sqref="B10:D19" name="区域2"/>
  </protectedRanges>
  <mergeCells count="36">
    <mergeCell ref="B6:H6"/>
    <mergeCell ref="E7:F7"/>
    <mergeCell ref="G7:H7"/>
    <mergeCell ref="E8:F8"/>
    <mergeCell ref="G8:H8"/>
    <mergeCell ref="B21:H21"/>
    <mergeCell ref="B22:C22"/>
    <mergeCell ref="G22:H22"/>
    <mergeCell ref="B23:C23"/>
    <mergeCell ref="G23:H23"/>
    <mergeCell ref="B24:C24"/>
    <mergeCell ref="G24:H24"/>
    <mergeCell ref="B25:C25"/>
    <mergeCell ref="G25:H25"/>
    <mergeCell ref="B26:C26"/>
    <mergeCell ref="G26:H26"/>
    <mergeCell ref="B27:C27"/>
    <mergeCell ref="G27:H27"/>
    <mergeCell ref="B28:C28"/>
    <mergeCell ref="G28:H28"/>
    <mergeCell ref="B29:C29"/>
    <mergeCell ref="G29:H29"/>
    <mergeCell ref="B30:C30"/>
    <mergeCell ref="G30:H30"/>
    <mergeCell ref="B31:C31"/>
    <mergeCell ref="G31:H31"/>
    <mergeCell ref="B32:C32"/>
    <mergeCell ref="G32:H32"/>
    <mergeCell ref="G34:H34"/>
    <mergeCell ref="G35:H35"/>
    <mergeCell ref="G36:H36"/>
    <mergeCell ref="G37:H37"/>
    <mergeCell ref="D7:D9"/>
    <mergeCell ref="F2:H3"/>
    <mergeCell ref="B2:E3"/>
    <mergeCell ref="B7:C9"/>
  </mergeCells>
  <pageMargins left="0.699305555555556" right="0.699305555555556" top="0.75" bottom="0.75" header="0.3" footer="0.3"/>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AS125"/>
  <sheetViews>
    <sheetView zoomScale="80" zoomScaleNormal="80" workbookViewId="0">
      <pane xSplit="4" ySplit="57" topLeftCell="E94" activePane="bottomRight" state="frozen"/>
      <selection/>
      <selection pane="topRight"/>
      <selection pane="bottomLeft"/>
      <selection pane="bottomRight" activeCell="O2" sqref="O$1:O$1048576"/>
    </sheetView>
  </sheetViews>
  <sheetFormatPr defaultColWidth="8.66666666666667" defaultRowHeight="14"/>
  <sheetData>
    <row r="1" ht="14.75" spans="1:43">
      <c r="A1" s="95" t="s">
        <v>462</v>
      </c>
      <c r="B1" s="96" t="s">
        <v>463</v>
      </c>
      <c r="C1" s="96"/>
      <c r="D1" s="97"/>
      <c r="E1" s="98" t="s">
        <v>464</v>
      </c>
      <c r="F1" s="98"/>
      <c r="G1" s="98"/>
      <c r="H1" s="98"/>
      <c r="I1" s="116" t="s">
        <v>465</v>
      </c>
      <c r="J1" s="116"/>
      <c r="K1" s="116"/>
      <c r="L1" s="116"/>
      <c r="M1" s="117" t="s">
        <v>466</v>
      </c>
      <c r="N1" s="117"/>
      <c r="O1" s="117"/>
      <c r="P1" s="117"/>
      <c r="Q1" s="120" t="s">
        <v>467</v>
      </c>
      <c r="R1" s="120"/>
      <c r="S1" s="120"/>
      <c r="T1" s="120"/>
      <c r="U1" s="121" t="s">
        <v>468</v>
      </c>
      <c r="V1" s="121"/>
      <c r="W1" s="121"/>
      <c r="X1" s="122" t="s">
        <v>469</v>
      </c>
      <c r="Y1" s="122"/>
      <c r="Z1" s="126" t="s">
        <v>470</v>
      </c>
      <c r="AA1" s="126"/>
      <c r="AB1" s="98" t="s">
        <v>471</v>
      </c>
      <c r="AC1" s="98"/>
      <c r="AD1" s="98"/>
      <c r="AE1" s="127" t="s">
        <v>472</v>
      </c>
      <c r="AF1" s="127"/>
      <c r="AG1" s="127"/>
      <c r="AH1" s="130" t="s">
        <v>473</v>
      </c>
      <c r="AI1" s="130"/>
      <c r="AJ1" s="130"/>
      <c r="AK1" s="131" t="s">
        <v>474</v>
      </c>
      <c r="AL1" s="131"/>
      <c r="AM1" s="131"/>
      <c r="AN1" s="98" t="s">
        <v>475</v>
      </c>
      <c r="AO1" s="134"/>
      <c r="AQ1" t="s">
        <v>476</v>
      </c>
    </row>
    <row r="2" ht="127" customHeight="1" spans="1:41">
      <c r="A2" s="99"/>
      <c r="B2" s="100"/>
      <c r="C2" s="100"/>
      <c r="D2" s="100"/>
      <c r="E2" s="101" t="s">
        <v>477</v>
      </c>
      <c r="F2" s="101" t="s">
        <v>478</v>
      </c>
      <c r="G2" s="101" t="s">
        <v>479</v>
      </c>
      <c r="H2" s="101" t="s">
        <v>480</v>
      </c>
      <c r="I2" s="118" t="s">
        <v>481</v>
      </c>
      <c r="J2" s="118" t="s">
        <v>482</v>
      </c>
      <c r="K2" s="118" t="s">
        <v>483</v>
      </c>
      <c r="L2" s="118" t="s">
        <v>484</v>
      </c>
      <c r="M2" s="119" t="s">
        <v>485</v>
      </c>
      <c r="N2" s="119" t="s">
        <v>486</v>
      </c>
      <c r="O2" s="119" t="s">
        <v>487</v>
      </c>
      <c r="P2" s="119" t="s">
        <v>488</v>
      </c>
      <c r="Q2" s="123" t="s">
        <v>489</v>
      </c>
      <c r="R2" s="123" t="s">
        <v>490</v>
      </c>
      <c r="S2" s="123" t="s">
        <v>491</v>
      </c>
      <c r="T2" s="123" t="s">
        <v>492</v>
      </c>
      <c r="U2" s="124" t="s">
        <v>493</v>
      </c>
      <c r="V2" s="124" t="s">
        <v>494</v>
      </c>
      <c r="W2" s="124" t="s">
        <v>495</v>
      </c>
      <c r="X2" s="125" t="s">
        <v>496</v>
      </c>
      <c r="Y2" s="125" t="s">
        <v>497</v>
      </c>
      <c r="Z2" s="128" t="s">
        <v>498</v>
      </c>
      <c r="AA2" s="128" t="s">
        <v>499</v>
      </c>
      <c r="AB2" s="101" t="s">
        <v>500</v>
      </c>
      <c r="AC2" s="101" t="s">
        <v>501</v>
      </c>
      <c r="AD2" s="101" t="s">
        <v>502</v>
      </c>
      <c r="AE2" s="129" t="s">
        <v>503</v>
      </c>
      <c r="AF2" s="129" t="s">
        <v>504</v>
      </c>
      <c r="AG2" s="129" t="s">
        <v>505</v>
      </c>
      <c r="AH2" s="132" t="s">
        <v>506</v>
      </c>
      <c r="AI2" s="132" t="s">
        <v>507</v>
      </c>
      <c r="AJ2" s="132" t="s">
        <v>508</v>
      </c>
      <c r="AK2" s="133" t="s">
        <v>509</v>
      </c>
      <c r="AL2" s="133" t="s">
        <v>510</v>
      </c>
      <c r="AM2" s="133" t="s">
        <v>511</v>
      </c>
      <c r="AN2" s="101" t="s">
        <v>512</v>
      </c>
      <c r="AO2" s="101" t="s">
        <v>513</v>
      </c>
    </row>
    <row r="3" ht="20" hidden="1" spans="1:43">
      <c r="A3" s="102">
        <v>1</v>
      </c>
      <c r="B3" s="103">
        <v>1</v>
      </c>
      <c r="C3" s="104">
        <v>1000000</v>
      </c>
      <c r="D3" s="105" t="str">
        <f>'[1]课程矩阵合理性检测（自动生成）'!A3</f>
        <v>中国近代史纲要</v>
      </c>
      <c r="E3" s="106"/>
      <c r="F3" s="107"/>
      <c r="G3" s="108"/>
      <c r="H3" s="108"/>
      <c r="I3" s="108"/>
      <c r="J3" s="108"/>
      <c r="K3" s="108"/>
      <c r="L3" s="108"/>
      <c r="M3" s="108"/>
      <c r="N3" s="108"/>
      <c r="O3" s="108"/>
      <c r="P3" s="108"/>
      <c r="Q3" s="108"/>
      <c r="R3" s="108"/>
      <c r="S3" s="108"/>
      <c r="T3" s="108"/>
      <c r="U3" s="108"/>
      <c r="V3" s="108"/>
      <c r="W3" s="108"/>
      <c r="X3" s="108"/>
      <c r="Y3" s="108"/>
      <c r="Z3" s="108"/>
      <c r="AA3" s="108"/>
      <c r="AB3" s="108">
        <v>0.1</v>
      </c>
      <c r="AC3" s="108">
        <v>0.1</v>
      </c>
      <c r="AD3" s="108">
        <v>0.1</v>
      </c>
      <c r="AE3" s="108"/>
      <c r="AF3" s="108"/>
      <c r="AG3" s="108"/>
      <c r="AH3" s="108"/>
      <c r="AI3" s="108"/>
      <c r="AJ3" s="108"/>
      <c r="AK3" s="108"/>
      <c r="AL3" s="108"/>
      <c r="AM3" s="108"/>
      <c r="AN3" s="108"/>
      <c r="AO3" s="135"/>
      <c r="AP3" s="103">
        <v>1000000</v>
      </c>
      <c r="AQ3">
        <v>2014</v>
      </c>
    </row>
    <row r="4" ht="40" hidden="1" spans="1:43">
      <c r="A4" s="102">
        <v>2</v>
      </c>
      <c r="B4" s="103">
        <v>2</v>
      </c>
      <c r="C4" s="104">
        <v>1000000</v>
      </c>
      <c r="D4" s="105" t="str">
        <f>'[1]课程矩阵合理性检测（自动生成）'!A4</f>
        <v>毛泽东思想和中国特色社会主义理论体系概论</v>
      </c>
      <c r="E4" s="106"/>
      <c r="F4" s="107"/>
      <c r="G4" s="108"/>
      <c r="H4" s="108"/>
      <c r="I4" s="108"/>
      <c r="J4" s="108"/>
      <c r="K4" s="108"/>
      <c r="L4" s="108"/>
      <c r="M4" s="108"/>
      <c r="N4" s="108"/>
      <c r="O4" s="108"/>
      <c r="P4" s="108"/>
      <c r="Q4" s="108"/>
      <c r="R4" s="108"/>
      <c r="S4" s="108"/>
      <c r="T4" s="108"/>
      <c r="U4" s="108"/>
      <c r="V4" s="108"/>
      <c r="W4" s="108"/>
      <c r="X4" s="108"/>
      <c r="Y4" s="108"/>
      <c r="Z4" s="108"/>
      <c r="AA4" s="108">
        <v>0.2</v>
      </c>
      <c r="AB4" s="108">
        <v>0.2</v>
      </c>
      <c r="AC4" s="108"/>
      <c r="AD4" s="108">
        <v>0.3</v>
      </c>
      <c r="AE4" s="108"/>
      <c r="AF4" s="108"/>
      <c r="AG4" s="108"/>
      <c r="AH4" s="108"/>
      <c r="AI4" s="108"/>
      <c r="AJ4" s="108"/>
      <c r="AK4" s="108"/>
      <c r="AL4" s="108"/>
      <c r="AM4" s="108"/>
      <c r="AN4" s="108"/>
      <c r="AO4" s="135"/>
      <c r="AP4" s="103">
        <v>1000000</v>
      </c>
      <c r="AQ4">
        <v>2014</v>
      </c>
    </row>
    <row r="5" ht="20" hidden="1" spans="1:43">
      <c r="A5" s="102">
        <v>3</v>
      </c>
      <c r="B5" s="103">
        <v>2</v>
      </c>
      <c r="C5" s="104">
        <v>1000000</v>
      </c>
      <c r="D5" s="105" t="str">
        <f>'[1]课程矩阵合理性检测（自动生成）'!A5</f>
        <v>军事理论与训练</v>
      </c>
      <c r="E5" s="106"/>
      <c r="F5" s="107"/>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v>0.3</v>
      </c>
      <c r="AF5" s="108">
        <v>0.2</v>
      </c>
      <c r="AG5" s="108">
        <v>0.2</v>
      </c>
      <c r="AH5" s="108"/>
      <c r="AI5" s="108"/>
      <c r="AJ5" s="108"/>
      <c r="AK5" s="108"/>
      <c r="AL5" s="108"/>
      <c r="AM5" s="108"/>
      <c r="AN5" s="108"/>
      <c r="AO5" s="135"/>
      <c r="AP5" s="103">
        <v>1000000</v>
      </c>
      <c r="AQ5">
        <v>2014</v>
      </c>
    </row>
    <row r="6" ht="30" hidden="1" spans="1:43">
      <c r="A6" s="102">
        <v>4</v>
      </c>
      <c r="B6" s="103">
        <v>2</v>
      </c>
      <c r="C6" s="104">
        <v>1000000</v>
      </c>
      <c r="D6" s="105" t="str">
        <f>'[1]课程矩阵合理性检测（自动生成）'!A6</f>
        <v>马克思主义基本原理概论</v>
      </c>
      <c r="E6" s="106"/>
      <c r="F6" s="107"/>
      <c r="G6" s="108"/>
      <c r="H6" s="108"/>
      <c r="I6" s="108"/>
      <c r="J6" s="108"/>
      <c r="K6" s="108"/>
      <c r="L6" s="108"/>
      <c r="M6" s="108"/>
      <c r="N6" s="108"/>
      <c r="O6" s="108"/>
      <c r="P6" s="108"/>
      <c r="Q6" s="108"/>
      <c r="R6" s="108"/>
      <c r="S6" s="108"/>
      <c r="T6" s="108"/>
      <c r="U6" s="108"/>
      <c r="V6" s="108"/>
      <c r="W6" s="108"/>
      <c r="X6" s="108">
        <v>0.1</v>
      </c>
      <c r="Y6" s="108"/>
      <c r="Z6" s="108"/>
      <c r="AA6" s="108"/>
      <c r="AB6" s="108">
        <v>0.2</v>
      </c>
      <c r="AC6" s="108"/>
      <c r="AD6" s="108">
        <v>0.2</v>
      </c>
      <c r="AE6" s="108"/>
      <c r="AF6" s="108"/>
      <c r="AG6" s="108"/>
      <c r="AH6" s="108"/>
      <c r="AI6" s="108"/>
      <c r="AJ6" s="108"/>
      <c r="AK6" s="108"/>
      <c r="AL6" s="108"/>
      <c r="AM6" s="108"/>
      <c r="AN6" s="108"/>
      <c r="AO6" s="135"/>
      <c r="AP6" s="103">
        <v>1000000</v>
      </c>
      <c r="AQ6">
        <v>2014</v>
      </c>
    </row>
    <row r="7" ht="20" hidden="1" spans="1:43">
      <c r="A7" s="102">
        <v>5</v>
      </c>
      <c r="B7" s="103">
        <v>3</v>
      </c>
      <c r="C7" s="104">
        <v>1000000</v>
      </c>
      <c r="D7" s="105" t="str">
        <f>'[1]课程矩阵合理性检测（自动生成）'!A7</f>
        <v>计算机应用基础</v>
      </c>
      <c r="E7" s="106"/>
      <c r="F7" s="107"/>
      <c r="G7" s="108"/>
      <c r="H7" s="108"/>
      <c r="I7" s="108"/>
      <c r="J7" s="108"/>
      <c r="K7" s="108"/>
      <c r="L7" s="108"/>
      <c r="M7" s="108"/>
      <c r="N7" s="108"/>
      <c r="O7" s="108"/>
      <c r="P7" s="108"/>
      <c r="Q7" s="108"/>
      <c r="R7" s="108"/>
      <c r="S7" s="108"/>
      <c r="T7" s="108">
        <v>0.1</v>
      </c>
      <c r="U7" s="108">
        <v>0.2</v>
      </c>
      <c r="V7" s="108"/>
      <c r="W7" s="108">
        <v>0.2</v>
      </c>
      <c r="X7" s="108"/>
      <c r="Y7" s="108"/>
      <c r="Z7" s="108"/>
      <c r="AA7" s="108"/>
      <c r="AB7" s="108"/>
      <c r="AC7" s="108"/>
      <c r="AD7" s="108"/>
      <c r="AE7" s="108"/>
      <c r="AF7" s="108"/>
      <c r="AG7" s="108"/>
      <c r="AH7" s="108"/>
      <c r="AI7" s="108"/>
      <c r="AJ7" s="108"/>
      <c r="AK7" s="108"/>
      <c r="AL7" s="108"/>
      <c r="AM7" s="108"/>
      <c r="AN7" s="108"/>
      <c r="AO7" s="135"/>
      <c r="AP7" s="103">
        <v>1000000</v>
      </c>
      <c r="AQ7">
        <v>2014</v>
      </c>
    </row>
    <row r="8" ht="30" hidden="1" spans="1:43">
      <c r="A8" s="102">
        <v>6</v>
      </c>
      <c r="B8" s="103">
        <v>3</v>
      </c>
      <c r="C8" s="104">
        <v>1000000</v>
      </c>
      <c r="D8" s="105" t="str">
        <f>'[1]课程矩阵合理性检测（自动生成）'!A8</f>
        <v>思想道德修养与法律基础</v>
      </c>
      <c r="E8" s="106"/>
      <c r="F8" s="107"/>
      <c r="G8" s="108"/>
      <c r="H8" s="108"/>
      <c r="I8" s="108"/>
      <c r="J8" s="108"/>
      <c r="K8" s="108"/>
      <c r="L8" s="108"/>
      <c r="M8" s="108"/>
      <c r="N8" s="108"/>
      <c r="O8" s="108"/>
      <c r="P8" s="108"/>
      <c r="Q8" s="108"/>
      <c r="R8" s="108"/>
      <c r="S8" s="108"/>
      <c r="T8" s="108"/>
      <c r="U8" s="108"/>
      <c r="V8" s="108"/>
      <c r="W8" s="108"/>
      <c r="X8" s="108"/>
      <c r="Y8" s="108"/>
      <c r="Z8" s="108">
        <v>0.1</v>
      </c>
      <c r="AA8" s="108"/>
      <c r="AB8" s="108">
        <v>0.3</v>
      </c>
      <c r="AC8" s="108">
        <v>0.2</v>
      </c>
      <c r="AD8" s="108"/>
      <c r="AE8" s="108"/>
      <c r="AF8" s="108"/>
      <c r="AG8" s="108"/>
      <c r="AH8" s="108"/>
      <c r="AI8" s="108"/>
      <c r="AJ8" s="108"/>
      <c r="AK8" s="108"/>
      <c r="AL8" s="108"/>
      <c r="AM8" s="108"/>
      <c r="AN8" s="108"/>
      <c r="AO8" s="135"/>
      <c r="AP8" s="103">
        <v>1000000</v>
      </c>
      <c r="AQ8">
        <v>2014</v>
      </c>
    </row>
    <row r="9" ht="20" hidden="1" spans="1:43">
      <c r="A9" s="102">
        <v>7</v>
      </c>
      <c r="B9" s="103">
        <v>3</v>
      </c>
      <c r="C9" s="104">
        <v>1000000</v>
      </c>
      <c r="D9" s="105" t="str">
        <f>'[1]课程矩阵合理性检测（自动生成）'!A9</f>
        <v>形势与政策（1-6）</v>
      </c>
      <c r="E9" s="106"/>
      <c r="F9" s="107"/>
      <c r="G9" s="108"/>
      <c r="H9" s="108"/>
      <c r="I9" s="108"/>
      <c r="J9" s="108"/>
      <c r="K9" s="108"/>
      <c r="L9" s="108"/>
      <c r="M9" s="108"/>
      <c r="N9" s="108"/>
      <c r="O9" s="108"/>
      <c r="P9" s="108"/>
      <c r="Q9" s="108"/>
      <c r="R9" s="108"/>
      <c r="S9" s="108"/>
      <c r="T9" s="108"/>
      <c r="U9" s="108"/>
      <c r="V9" s="108"/>
      <c r="W9" s="108"/>
      <c r="X9" s="108">
        <v>0.3</v>
      </c>
      <c r="Y9" s="108"/>
      <c r="Z9" s="108"/>
      <c r="AA9" s="108"/>
      <c r="AB9" s="108"/>
      <c r="AC9" s="108"/>
      <c r="AD9" s="108"/>
      <c r="AE9" s="108"/>
      <c r="AF9" s="108"/>
      <c r="AG9" s="108"/>
      <c r="AH9" s="108"/>
      <c r="AI9" s="108">
        <v>0.2</v>
      </c>
      <c r="AJ9" s="108"/>
      <c r="AK9" s="108"/>
      <c r="AL9" s="108"/>
      <c r="AM9" s="108"/>
      <c r="AN9" s="108">
        <v>0.2</v>
      </c>
      <c r="AO9" s="135"/>
      <c r="AP9" s="103">
        <v>1000000</v>
      </c>
      <c r="AQ9">
        <v>2014</v>
      </c>
    </row>
    <row r="10" ht="20" hidden="1" spans="1:43">
      <c r="A10" s="102">
        <v>8</v>
      </c>
      <c r="B10" s="103">
        <v>2</v>
      </c>
      <c r="C10" s="104">
        <v>1000000</v>
      </c>
      <c r="D10" s="105" t="str">
        <f>'[1]课程矩阵合理性检测（自动生成）'!A10</f>
        <v>职业发展与就业指导</v>
      </c>
      <c r="E10" s="106"/>
      <c r="F10" s="107"/>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v>0.2</v>
      </c>
      <c r="AD10" s="108">
        <v>0.1</v>
      </c>
      <c r="AE10" s="108"/>
      <c r="AF10" s="108"/>
      <c r="AG10" s="108"/>
      <c r="AH10" s="108"/>
      <c r="AI10" s="108"/>
      <c r="AJ10" s="108"/>
      <c r="AK10" s="108"/>
      <c r="AL10" s="108"/>
      <c r="AM10" s="108"/>
      <c r="AN10" s="108"/>
      <c r="AO10" s="135">
        <v>0.4</v>
      </c>
      <c r="AP10" s="103">
        <v>1000000</v>
      </c>
      <c r="AQ10">
        <v>2014</v>
      </c>
    </row>
    <row r="11" ht="20" hidden="1" spans="1:43">
      <c r="A11" s="102">
        <v>9</v>
      </c>
      <c r="B11" s="103">
        <v>2</v>
      </c>
      <c r="C11" s="104">
        <v>1000000</v>
      </c>
      <c r="D11" s="105" t="str">
        <f>'[1]课程矩阵合理性检测（自动生成）'!A11</f>
        <v>心理健康教育</v>
      </c>
      <c r="E11" s="106"/>
      <c r="F11" s="107"/>
      <c r="G11" s="108"/>
      <c r="H11" s="108"/>
      <c r="I11" s="108"/>
      <c r="J11" s="108"/>
      <c r="K11" s="108"/>
      <c r="L11" s="108"/>
      <c r="M11" s="108"/>
      <c r="N11" s="108"/>
      <c r="O11" s="108"/>
      <c r="P11" s="108"/>
      <c r="Q11" s="108"/>
      <c r="R11" s="108"/>
      <c r="S11" s="108"/>
      <c r="T11" s="108"/>
      <c r="U11" s="108"/>
      <c r="V11" s="108"/>
      <c r="W11" s="108"/>
      <c r="X11" s="108"/>
      <c r="Y11" s="108"/>
      <c r="Z11" s="108"/>
      <c r="AA11" s="108"/>
      <c r="AB11" s="108">
        <v>0.2</v>
      </c>
      <c r="AC11" s="108"/>
      <c r="AD11" s="108"/>
      <c r="AE11" s="108"/>
      <c r="AF11" s="108"/>
      <c r="AG11" s="108"/>
      <c r="AH11" s="108"/>
      <c r="AI11" s="108"/>
      <c r="AJ11" s="108"/>
      <c r="AK11" s="108"/>
      <c r="AL11" s="108"/>
      <c r="AM11" s="108"/>
      <c r="AN11" s="108"/>
      <c r="AO11" s="135">
        <v>0.1</v>
      </c>
      <c r="AP11" s="103">
        <v>1000000</v>
      </c>
      <c r="AQ11">
        <v>2014</v>
      </c>
    </row>
    <row r="12" hidden="1" spans="1:43">
      <c r="A12" s="102">
        <v>10</v>
      </c>
      <c r="B12" s="103">
        <v>3</v>
      </c>
      <c r="C12" s="104">
        <v>1000000</v>
      </c>
      <c r="D12" s="105" t="str">
        <f>'[1]课程矩阵合理性检测（自动生成）'!A12</f>
        <v>社会实践</v>
      </c>
      <c r="E12" s="106"/>
      <c r="F12" s="107"/>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v>0.4</v>
      </c>
      <c r="AI12" s="108">
        <v>0.2</v>
      </c>
      <c r="AJ12" s="108">
        <v>0.2</v>
      </c>
      <c r="AK12" s="108"/>
      <c r="AL12" s="108"/>
      <c r="AM12" s="108"/>
      <c r="AN12" s="108"/>
      <c r="AO12" s="135"/>
      <c r="AP12" s="103">
        <v>1000000</v>
      </c>
      <c r="AQ12">
        <v>2014</v>
      </c>
    </row>
    <row r="13" hidden="1" spans="1:43">
      <c r="A13" s="102">
        <v>11</v>
      </c>
      <c r="B13" s="103">
        <v>1</v>
      </c>
      <c r="C13" s="104">
        <v>1000000</v>
      </c>
      <c r="D13" s="105" t="str">
        <f>'[1]课程矩阵合理性检测（自动生成）'!A13</f>
        <v>读书活动</v>
      </c>
      <c r="E13" s="106"/>
      <c r="F13" s="107"/>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v>0.2</v>
      </c>
      <c r="AE13" s="108"/>
      <c r="AF13" s="108"/>
      <c r="AG13" s="108"/>
      <c r="AH13" s="108"/>
      <c r="AI13" s="108"/>
      <c r="AJ13" s="108"/>
      <c r="AK13" s="108"/>
      <c r="AL13" s="108"/>
      <c r="AM13" s="108"/>
      <c r="AN13" s="108">
        <v>0.2</v>
      </c>
      <c r="AO13" s="135">
        <v>0.2</v>
      </c>
      <c r="AP13" s="103">
        <v>1000000</v>
      </c>
      <c r="AQ13">
        <v>2014</v>
      </c>
    </row>
    <row r="14" ht="20" hidden="1" spans="1:43">
      <c r="A14" s="102">
        <v>12</v>
      </c>
      <c r="B14" s="103">
        <v>4</v>
      </c>
      <c r="C14" s="104">
        <v>1000000</v>
      </c>
      <c r="D14" s="105" t="str">
        <f>'[1]课程矩阵合理性检测（自动生成）'!A14</f>
        <v>创新创业教育</v>
      </c>
      <c r="E14" s="106"/>
      <c r="F14" s="107"/>
      <c r="G14" s="108"/>
      <c r="H14" s="108"/>
      <c r="I14" s="108"/>
      <c r="J14" s="108"/>
      <c r="K14" s="108"/>
      <c r="L14" s="108"/>
      <c r="M14" s="108"/>
      <c r="N14" s="108"/>
      <c r="O14" s="108">
        <v>0.2</v>
      </c>
      <c r="P14" s="108"/>
      <c r="Q14" s="108"/>
      <c r="R14" s="108"/>
      <c r="S14" s="108"/>
      <c r="T14" s="108"/>
      <c r="U14" s="108"/>
      <c r="V14" s="108"/>
      <c r="W14" s="108"/>
      <c r="X14" s="108"/>
      <c r="Y14" s="108"/>
      <c r="Z14" s="108"/>
      <c r="AA14" s="108"/>
      <c r="AB14" s="108"/>
      <c r="AC14" s="108"/>
      <c r="AD14" s="108"/>
      <c r="AE14" s="108">
        <v>0.3</v>
      </c>
      <c r="AF14" s="108"/>
      <c r="AG14" s="108"/>
      <c r="AH14" s="108"/>
      <c r="AI14" s="108"/>
      <c r="AJ14" s="108"/>
      <c r="AK14" s="108"/>
      <c r="AL14" s="108"/>
      <c r="AM14" s="108"/>
      <c r="AN14" s="108"/>
      <c r="AO14" s="135">
        <v>0.2</v>
      </c>
      <c r="AP14" s="103">
        <v>1000000</v>
      </c>
      <c r="AQ14">
        <v>2014</v>
      </c>
    </row>
    <row r="15" ht="20" hidden="1" spans="1:43">
      <c r="A15" s="102">
        <v>13</v>
      </c>
      <c r="B15" s="103">
        <v>3</v>
      </c>
      <c r="C15" s="104">
        <v>1000000</v>
      </c>
      <c r="D15" s="105" t="str">
        <f>'[1]课程矩阵合理性检测（自动生成）'!A15</f>
        <v>大学体育与健康（1-4）</v>
      </c>
      <c r="E15" s="106"/>
      <c r="F15" s="107"/>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v>0.1</v>
      </c>
      <c r="AE15" s="108"/>
      <c r="AF15" s="108"/>
      <c r="AG15" s="108"/>
      <c r="AH15" s="108"/>
      <c r="AI15" s="108">
        <v>0.2</v>
      </c>
      <c r="AJ15" s="108"/>
      <c r="AK15" s="108"/>
      <c r="AL15" s="108"/>
      <c r="AM15" s="108"/>
      <c r="AN15" s="108">
        <v>0.2</v>
      </c>
      <c r="AO15" s="135">
        <v>0.1</v>
      </c>
      <c r="AP15" s="103">
        <v>1000000</v>
      </c>
      <c r="AQ15">
        <v>2014</v>
      </c>
    </row>
    <row r="16" hidden="1" spans="1:43">
      <c r="A16" s="102">
        <v>14</v>
      </c>
      <c r="B16" s="103">
        <v>2</v>
      </c>
      <c r="C16" s="104">
        <v>1000000</v>
      </c>
      <c r="D16" s="105" t="str">
        <f>'[1]课程矩阵合理性检测（自动生成）'!A16</f>
        <v>英语（1-4）</v>
      </c>
      <c r="E16" s="106"/>
      <c r="F16" s="107"/>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v>0.2</v>
      </c>
      <c r="AJ16" s="108">
        <v>0.3</v>
      </c>
      <c r="AK16" s="108"/>
      <c r="AL16" s="108"/>
      <c r="AM16" s="108"/>
      <c r="AN16" s="108">
        <v>0.1</v>
      </c>
      <c r="AO16" s="135"/>
      <c r="AP16" s="103">
        <v>1000000</v>
      </c>
      <c r="AQ16">
        <v>2014</v>
      </c>
    </row>
    <row r="17" ht="20" hidden="1" spans="1:43">
      <c r="A17" s="102">
        <v>15</v>
      </c>
      <c r="B17" s="103">
        <v>10</v>
      </c>
      <c r="C17" s="103" t="s">
        <v>514</v>
      </c>
      <c r="D17" s="105" t="str">
        <f>'[1]课程矩阵合理性检测（自动生成）'!A17</f>
        <v>数学分析 1、2</v>
      </c>
      <c r="E17" s="108">
        <v>0.3</v>
      </c>
      <c r="F17" s="108">
        <v>0.2</v>
      </c>
      <c r="G17" s="108"/>
      <c r="H17" s="108">
        <v>0.2</v>
      </c>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35"/>
      <c r="AP17" s="103" t="s">
        <v>514</v>
      </c>
      <c r="AQ17">
        <v>2014</v>
      </c>
    </row>
    <row r="18" hidden="1" spans="1:43">
      <c r="A18" s="102">
        <v>16</v>
      </c>
      <c r="B18" s="103">
        <v>3</v>
      </c>
      <c r="C18" s="103">
        <v>1102122</v>
      </c>
      <c r="D18" s="105" t="str">
        <f>'[1]课程矩阵合理性检测（自动生成）'!A18</f>
        <v>高等代数</v>
      </c>
      <c r="E18" s="108"/>
      <c r="F18" s="108">
        <v>0.2</v>
      </c>
      <c r="G18" s="108"/>
      <c r="H18" s="108">
        <v>0.3</v>
      </c>
      <c r="I18" s="108"/>
      <c r="J18" s="108">
        <v>0.2</v>
      </c>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35"/>
      <c r="AP18" s="103">
        <v>1102122</v>
      </c>
      <c r="AQ18">
        <v>2014</v>
      </c>
    </row>
    <row r="19" ht="20" hidden="1" spans="1:43">
      <c r="A19" s="102">
        <v>17</v>
      </c>
      <c r="B19" s="103">
        <v>4</v>
      </c>
      <c r="C19" s="103">
        <v>1106402</v>
      </c>
      <c r="D19" s="105" t="str">
        <f>'[1]课程矩阵合理性检测（自动生成）'!A19</f>
        <v>概率论与数理统计A</v>
      </c>
      <c r="E19" s="108">
        <v>0.2</v>
      </c>
      <c r="F19" s="108"/>
      <c r="G19" s="108"/>
      <c r="H19" s="108">
        <v>0.2</v>
      </c>
      <c r="I19" s="108"/>
      <c r="J19" s="108"/>
      <c r="K19" s="108">
        <v>0.3</v>
      </c>
      <c r="L19" s="108">
        <v>0.1</v>
      </c>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108"/>
      <c r="AN19" s="108"/>
      <c r="AO19" s="135"/>
      <c r="AP19" s="103">
        <v>1106402</v>
      </c>
      <c r="AQ19">
        <v>2014</v>
      </c>
    </row>
    <row r="20" ht="20" hidden="1" spans="1:43">
      <c r="A20" s="102">
        <v>18</v>
      </c>
      <c r="B20" s="103">
        <v>2</v>
      </c>
      <c r="C20" s="103">
        <v>1101448</v>
      </c>
      <c r="D20" s="105" t="str">
        <f>'[1]课程矩阵合理性检测（自动生成）'!A20</f>
        <v>数理方程与复变函数</v>
      </c>
      <c r="E20" s="108"/>
      <c r="F20" s="108">
        <v>0.3</v>
      </c>
      <c r="G20" s="108">
        <v>0.3</v>
      </c>
      <c r="H20" s="108"/>
      <c r="I20" s="108"/>
      <c r="J20" s="108"/>
      <c r="K20" s="108">
        <v>0.2</v>
      </c>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M20" s="108"/>
      <c r="AN20" s="108"/>
      <c r="AO20" s="135"/>
      <c r="AP20" s="103">
        <v>1101448</v>
      </c>
      <c r="AQ20">
        <v>2014</v>
      </c>
    </row>
    <row r="21" hidden="1" spans="1:43">
      <c r="A21" s="102">
        <v>19</v>
      </c>
      <c r="B21" s="103">
        <v>3</v>
      </c>
      <c r="C21" s="103">
        <v>1108101</v>
      </c>
      <c r="D21" s="105" t="str">
        <f>'[1]课程矩阵合理性检测（自动生成）'!A21</f>
        <v>离散数学 A</v>
      </c>
      <c r="E21" s="108"/>
      <c r="F21" s="108">
        <v>0.2</v>
      </c>
      <c r="G21" s="108">
        <v>0.3</v>
      </c>
      <c r="H21" s="108"/>
      <c r="I21" s="108">
        <v>0.1</v>
      </c>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35"/>
      <c r="AP21" s="103">
        <v>1108101</v>
      </c>
      <c r="AQ21">
        <v>2014</v>
      </c>
    </row>
    <row r="22" hidden="1" spans="1:43">
      <c r="A22" s="102">
        <v>20</v>
      </c>
      <c r="B22" s="103">
        <v>4</v>
      </c>
      <c r="C22" s="103">
        <v>1409912</v>
      </c>
      <c r="D22" s="105" t="str">
        <f>'[1]课程矩阵合理性检测（自动生成）'!A22</f>
        <v>大学物理 B</v>
      </c>
      <c r="E22" s="108">
        <v>0.2</v>
      </c>
      <c r="F22" s="108"/>
      <c r="G22" s="108"/>
      <c r="H22" s="108"/>
      <c r="I22" s="108">
        <v>0.2</v>
      </c>
      <c r="J22" s="108">
        <v>0.2</v>
      </c>
      <c r="K22" s="108"/>
      <c r="L22" s="108"/>
      <c r="M22" s="108"/>
      <c r="N22" s="108"/>
      <c r="O22" s="108"/>
      <c r="P22" s="108"/>
      <c r="Q22" s="108"/>
      <c r="R22" s="108"/>
      <c r="S22" s="108"/>
      <c r="T22" s="108"/>
      <c r="U22" s="108"/>
      <c r="V22" s="108"/>
      <c r="W22" s="108">
        <v>0.1</v>
      </c>
      <c r="X22" s="108"/>
      <c r="Y22" s="108"/>
      <c r="Z22" s="108"/>
      <c r="AA22" s="108"/>
      <c r="AB22" s="108"/>
      <c r="AC22" s="108"/>
      <c r="AD22" s="108"/>
      <c r="AE22" s="108"/>
      <c r="AF22" s="108"/>
      <c r="AG22" s="108"/>
      <c r="AH22" s="108"/>
      <c r="AI22" s="108"/>
      <c r="AJ22" s="108"/>
      <c r="AK22" s="108"/>
      <c r="AL22" s="108"/>
      <c r="AM22" s="108"/>
      <c r="AN22" s="108"/>
      <c r="AO22" s="135"/>
      <c r="AP22" s="103">
        <v>1409912</v>
      </c>
      <c r="AQ22">
        <v>2014</v>
      </c>
    </row>
    <row r="23" ht="20" hidden="1" spans="1:43">
      <c r="A23" s="102">
        <v>21</v>
      </c>
      <c r="B23" s="103">
        <v>1</v>
      </c>
      <c r="C23" s="103">
        <v>1409903</v>
      </c>
      <c r="D23" s="105" t="str">
        <f>'[1]课程矩阵合理性检测（自动生成）'!A23</f>
        <v>大学物理实验</v>
      </c>
      <c r="E23" s="108">
        <v>0.1</v>
      </c>
      <c r="F23" s="108"/>
      <c r="G23" s="108"/>
      <c r="H23" s="108"/>
      <c r="I23" s="108"/>
      <c r="J23" s="108"/>
      <c r="K23" s="108"/>
      <c r="L23" s="108"/>
      <c r="M23" s="108"/>
      <c r="N23" s="108"/>
      <c r="O23" s="108"/>
      <c r="P23" s="108"/>
      <c r="Q23" s="108"/>
      <c r="R23" s="108"/>
      <c r="S23" s="108">
        <v>0.1</v>
      </c>
      <c r="T23" s="108">
        <v>0.2</v>
      </c>
      <c r="U23" s="108"/>
      <c r="V23" s="108"/>
      <c r="W23" s="108"/>
      <c r="X23" s="108"/>
      <c r="Y23" s="108"/>
      <c r="Z23" s="108"/>
      <c r="AA23" s="108"/>
      <c r="AB23" s="108"/>
      <c r="AC23" s="108"/>
      <c r="AD23" s="108"/>
      <c r="AE23" s="108"/>
      <c r="AF23" s="108"/>
      <c r="AG23" s="108"/>
      <c r="AH23" s="108"/>
      <c r="AI23" s="108"/>
      <c r="AJ23" s="108"/>
      <c r="AK23" s="108"/>
      <c r="AL23" s="108"/>
      <c r="AM23" s="108"/>
      <c r="AN23" s="108"/>
      <c r="AO23" s="135"/>
      <c r="AP23" s="103">
        <v>1409903</v>
      </c>
      <c r="AQ23">
        <v>2014</v>
      </c>
    </row>
    <row r="24" ht="20" hidden="1" spans="1:43">
      <c r="A24" s="102">
        <v>22</v>
      </c>
      <c r="B24" s="103">
        <v>4.5</v>
      </c>
      <c r="C24" s="103">
        <v>1101423</v>
      </c>
      <c r="D24" s="105" t="str">
        <f>'[1]课程矩阵合理性检测（自动生成）'!A24</f>
        <v>数字逻辑与电路</v>
      </c>
      <c r="E24" s="108">
        <v>0.1</v>
      </c>
      <c r="F24" s="108"/>
      <c r="G24" s="108"/>
      <c r="H24" s="108"/>
      <c r="I24" s="108">
        <v>0.2</v>
      </c>
      <c r="J24" s="108"/>
      <c r="K24" s="108"/>
      <c r="L24" s="108"/>
      <c r="M24" s="108">
        <v>0.1</v>
      </c>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108"/>
      <c r="AL24" s="108"/>
      <c r="AM24" s="108"/>
      <c r="AN24" s="108"/>
      <c r="AO24" s="135"/>
      <c r="AP24" s="103">
        <v>1101423</v>
      </c>
      <c r="AQ24">
        <v>2014</v>
      </c>
    </row>
    <row r="25" ht="20" hidden="1" spans="1:43">
      <c r="A25" s="102">
        <v>23</v>
      </c>
      <c r="B25" s="103">
        <v>4</v>
      </c>
      <c r="C25" s="103">
        <v>5204133</v>
      </c>
      <c r="D25" s="105" t="str">
        <f>'[1]课程矩阵合理性检测（自动生成）'!A25</f>
        <v>程序设计基础</v>
      </c>
      <c r="E25" s="108"/>
      <c r="F25" s="108"/>
      <c r="G25" s="108"/>
      <c r="H25" s="108"/>
      <c r="I25" s="108"/>
      <c r="J25" s="108"/>
      <c r="K25" s="108">
        <v>0.2</v>
      </c>
      <c r="L25" s="108"/>
      <c r="M25" s="108"/>
      <c r="N25" s="108"/>
      <c r="O25" s="108">
        <v>0.2</v>
      </c>
      <c r="P25" s="108"/>
      <c r="Q25" s="108"/>
      <c r="R25" s="108"/>
      <c r="S25" s="108"/>
      <c r="T25" s="108"/>
      <c r="U25" s="108"/>
      <c r="V25" s="108"/>
      <c r="W25" s="108"/>
      <c r="X25" s="108"/>
      <c r="Y25" s="108"/>
      <c r="Z25" s="108"/>
      <c r="AA25" s="108"/>
      <c r="AB25" s="108"/>
      <c r="AC25" s="108">
        <v>0.4</v>
      </c>
      <c r="AD25" s="108"/>
      <c r="AE25" s="108"/>
      <c r="AF25" s="108"/>
      <c r="AG25" s="108"/>
      <c r="AH25" s="108"/>
      <c r="AI25" s="108"/>
      <c r="AJ25" s="108"/>
      <c r="AK25" s="108"/>
      <c r="AL25" s="108"/>
      <c r="AM25" s="108"/>
      <c r="AN25" s="108"/>
      <c r="AO25" s="135"/>
      <c r="AP25" s="103">
        <v>5204133</v>
      </c>
      <c r="AQ25">
        <v>2014</v>
      </c>
    </row>
    <row r="26" ht="20" hidden="1" spans="1:43">
      <c r="A26" s="102">
        <v>24</v>
      </c>
      <c r="B26" s="103">
        <v>2.5</v>
      </c>
      <c r="C26" s="103">
        <v>5204116</v>
      </c>
      <c r="D26" s="105" t="str">
        <f>'[1]课程矩阵合理性检测（自动生成）'!A26</f>
        <v>面向对象程序设计</v>
      </c>
      <c r="E26" s="108"/>
      <c r="F26" s="108"/>
      <c r="G26" s="108"/>
      <c r="H26" s="108"/>
      <c r="I26" s="108"/>
      <c r="J26" s="108"/>
      <c r="K26" s="108"/>
      <c r="L26" s="108"/>
      <c r="M26" s="108">
        <v>0.1</v>
      </c>
      <c r="N26" s="108"/>
      <c r="O26" s="108"/>
      <c r="P26" s="108"/>
      <c r="Q26" s="108"/>
      <c r="R26" s="108"/>
      <c r="S26" s="108"/>
      <c r="T26" s="108"/>
      <c r="U26" s="108"/>
      <c r="V26" s="108">
        <v>0.1</v>
      </c>
      <c r="W26" s="108"/>
      <c r="X26" s="108"/>
      <c r="Y26" s="108"/>
      <c r="Z26" s="108"/>
      <c r="AA26" s="108"/>
      <c r="AB26" s="108"/>
      <c r="AC26" s="108"/>
      <c r="AD26" s="108"/>
      <c r="AE26" s="108"/>
      <c r="AF26" s="108">
        <v>0.2</v>
      </c>
      <c r="AG26" s="108"/>
      <c r="AH26" s="108"/>
      <c r="AI26" s="108"/>
      <c r="AJ26" s="108"/>
      <c r="AK26" s="108"/>
      <c r="AL26" s="108"/>
      <c r="AM26" s="108"/>
      <c r="AN26" s="108"/>
      <c r="AO26" s="135"/>
      <c r="AP26" s="103">
        <v>5204116</v>
      </c>
      <c r="AQ26">
        <v>2014</v>
      </c>
    </row>
    <row r="27" ht="20" hidden="1" spans="1:43">
      <c r="A27" s="102">
        <v>25</v>
      </c>
      <c r="B27" s="103">
        <v>2.5</v>
      </c>
      <c r="C27" s="103">
        <v>5204117</v>
      </c>
      <c r="D27" s="105" t="str">
        <f>'[1]课程矩阵合理性检测（自动生成）'!A27</f>
        <v>JAVA程序设计基础</v>
      </c>
      <c r="E27" s="108"/>
      <c r="F27" s="108"/>
      <c r="G27" s="108"/>
      <c r="H27" s="108"/>
      <c r="I27" s="108"/>
      <c r="J27" s="108"/>
      <c r="K27" s="108"/>
      <c r="L27" s="108"/>
      <c r="M27" s="108"/>
      <c r="N27" s="108"/>
      <c r="O27" s="108"/>
      <c r="P27" s="108"/>
      <c r="Q27" s="108"/>
      <c r="R27" s="108"/>
      <c r="S27" s="108"/>
      <c r="T27" s="108"/>
      <c r="U27" s="108"/>
      <c r="V27" s="108"/>
      <c r="W27" s="108">
        <v>0.1</v>
      </c>
      <c r="X27" s="108"/>
      <c r="Y27" s="108"/>
      <c r="Z27" s="108"/>
      <c r="AA27" s="108"/>
      <c r="AB27" s="108"/>
      <c r="AC27" s="108"/>
      <c r="AD27" s="108"/>
      <c r="AE27" s="108"/>
      <c r="AF27" s="108"/>
      <c r="AG27" s="108">
        <v>0.2</v>
      </c>
      <c r="AH27" s="108"/>
      <c r="AI27" s="108"/>
      <c r="AJ27" s="108"/>
      <c r="AK27" s="108"/>
      <c r="AL27" s="108"/>
      <c r="AM27" s="108"/>
      <c r="AN27" s="108"/>
      <c r="AO27" s="135"/>
      <c r="AP27" s="103">
        <v>5204117</v>
      </c>
      <c r="AQ27">
        <v>2014</v>
      </c>
    </row>
    <row r="28" ht="20" hidden="1" spans="1:43">
      <c r="A28" s="102">
        <v>26</v>
      </c>
      <c r="B28" s="103">
        <v>4.5</v>
      </c>
      <c r="C28" s="103">
        <v>5201039</v>
      </c>
      <c r="D28" s="105" t="str">
        <f>'[1]课程矩阵合理性检测（自动生成）'!A28</f>
        <v>数据结构与算法</v>
      </c>
      <c r="E28" s="108"/>
      <c r="F28" s="108"/>
      <c r="G28" s="108"/>
      <c r="H28" s="108"/>
      <c r="I28" s="108"/>
      <c r="J28" s="108">
        <v>0.2</v>
      </c>
      <c r="K28" s="108"/>
      <c r="L28" s="108"/>
      <c r="M28" s="108"/>
      <c r="N28" s="108"/>
      <c r="O28" s="108"/>
      <c r="P28" s="108">
        <v>0.2</v>
      </c>
      <c r="Q28" s="108"/>
      <c r="R28" s="108"/>
      <c r="S28" s="108"/>
      <c r="T28" s="108"/>
      <c r="U28" s="108"/>
      <c r="V28" s="108">
        <v>0.2</v>
      </c>
      <c r="W28" s="108"/>
      <c r="X28" s="108"/>
      <c r="Y28" s="108"/>
      <c r="Z28" s="108"/>
      <c r="AA28" s="108"/>
      <c r="AB28" s="108"/>
      <c r="AC28" s="108"/>
      <c r="AD28" s="108"/>
      <c r="AE28" s="108"/>
      <c r="AF28" s="108"/>
      <c r="AG28" s="108"/>
      <c r="AH28" s="108"/>
      <c r="AI28" s="108"/>
      <c r="AJ28" s="108"/>
      <c r="AK28" s="108"/>
      <c r="AL28" s="108"/>
      <c r="AM28" s="108"/>
      <c r="AN28" s="108"/>
      <c r="AO28" s="135"/>
      <c r="AP28" s="103">
        <v>5201039</v>
      </c>
      <c r="AQ28">
        <v>2014</v>
      </c>
    </row>
    <row r="29" hidden="1" spans="1:43">
      <c r="A29" s="102">
        <v>27</v>
      </c>
      <c r="B29" s="103">
        <v>2.5</v>
      </c>
      <c r="C29" s="103">
        <v>5203015</v>
      </c>
      <c r="D29" s="105" t="str">
        <f>'[1]课程矩阵合理性检测（自动生成）'!A29</f>
        <v>计算机网络</v>
      </c>
      <c r="E29" s="108"/>
      <c r="F29" s="108"/>
      <c r="G29" s="108"/>
      <c r="H29" s="108"/>
      <c r="I29" s="108"/>
      <c r="J29" s="108"/>
      <c r="K29" s="108"/>
      <c r="L29" s="108"/>
      <c r="M29" s="108"/>
      <c r="N29" s="108"/>
      <c r="O29" s="108"/>
      <c r="P29" s="108"/>
      <c r="Q29" s="108">
        <v>0.1</v>
      </c>
      <c r="R29" s="108"/>
      <c r="S29" s="108"/>
      <c r="T29" s="108"/>
      <c r="U29" s="108">
        <v>0.2</v>
      </c>
      <c r="V29" s="108"/>
      <c r="W29" s="108"/>
      <c r="X29" s="108">
        <v>0.2</v>
      </c>
      <c r="Y29" s="108"/>
      <c r="Z29" s="108"/>
      <c r="AA29" s="108"/>
      <c r="AB29" s="108"/>
      <c r="AC29" s="108"/>
      <c r="AD29" s="108"/>
      <c r="AE29" s="108"/>
      <c r="AF29" s="108"/>
      <c r="AG29" s="108"/>
      <c r="AH29" s="108"/>
      <c r="AI29" s="108"/>
      <c r="AJ29" s="108"/>
      <c r="AK29" s="108"/>
      <c r="AL29" s="108"/>
      <c r="AM29" s="108"/>
      <c r="AN29" s="108"/>
      <c r="AO29" s="135"/>
      <c r="AP29" s="103">
        <v>5203015</v>
      </c>
      <c r="AQ29">
        <v>2014</v>
      </c>
    </row>
    <row r="30" hidden="1" spans="1:43">
      <c r="A30" s="102">
        <v>28</v>
      </c>
      <c r="B30" s="103">
        <v>4</v>
      </c>
      <c r="C30" s="103">
        <v>5204152</v>
      </c>
      <c r="D30" s="105" t="str">
        <f>'[1]课程矩阵合理性检测（自动生成）'!A30</f>
        <v>数据库原理</v>
      </c>
      <c r="E30" s="108"/>
      <c r="F30" s="108"/>
      <c r="G30" s="108"/>
      <c r="H30" s="108"/>
      <c r="I30" s="108"/>
      <c r="J30" s="108"/>
      <c r="K30" s="108">
        <v>0.1</v>
      </c>
      <c r="L30" s="108"/>
      <c r="M30" s="108"/>
      <c r="N30" s="108"/>
      <c r="O30" s="108"/>
      <c r="P30" s="108"/>
      <c r="Q30" s="108"/>
      <c r="R30" s="108"/>
      <c r="S30" s="108"/>
      <c r="T30" s="108"/>
      <c r="U30" s="108">
        <v>0.2</v>
      </c>
      <c r="V30" s="108"/>
      <c r="W30" s="108"/>
      <c r="X30" s="108">
        <v>0.2</v>
      </c>
      <c r="Y30" s="108"/>
      <c r="Z30" s="108"/>
      <c r="AA30" s="108"/>
      <c r="AB30" s="108"/>
      <c r="AC30" s="108"/>
      <c r="AD30" s="108"/>
      <c r="AE30" s="108"/>
      <c r="AF30" s="108"/>
      <c r="AG30" s="108"/>
      <c r="AH30" s="108"/>
      <c r="AI30" s="108"/>
      <c r="AJ30" s="108"/>
      <c r="AK30" s="108"/>
      <c r="AL30" s="108"/>
      <c r="AM30" s="108"/>
      <c r="AN30" s="108"/>
      <c r="AO30" s="135"/>
      <c r="AP30" s="103">
        <v>5204152</v>
      </c>
      <c r="AQ30">
        <v>2014</v>
      </c>
    </row>
    <row r="31" hidden="1" spans="1:43">
      <c r="A31" s="102">
        <v>29</v>
      </c>
      <c r="B31" s="103">
        <v>3.5</v>
      </c>
      <c r="C31" s="103">
        <v>5204112</v>
      </c>
      <c r="D31" s="105" t="str">
        <f>'[1]课程矩阵合理性检测（自动生成）'!A31</f>
        <v>操作系统</v>
      </c>
      <c r="E31" s="108"/>
      <c r="F31" s="108"/>
      <c r="G31" s="108"/>
      <c r="H31" s="108"/>
      <c r="I31" s="108"/>
      <c r="J31" s="108"/>
      <c r="K31" s="108"/>
      <c r="L31" s="108"/>
      <c r="M31" s="108"/>
      <c r="N31" s="108"/>
      <c r="O31" s="108"/>
      <c r="P31" s="108"/>
      <c r="Q31" s="108">
        <v>0.2</v>
      </c>
      <c r="R31" s="108"/>
      <c r="S31" s="108"/>
      <c r="T31" s="108"/>
      <c r="U31" s="108"/>
      <c r="V31" s="108">
        <v>0.2</v>
      </c>
      <c r="W31" s="108"/>
      <c r="X31" s="108"/>
      <c r="Y31" s="108"/>
      <c r="Z31" s="108"/>
      <c r="AA31" s="108"/>
      <c r="AB31" s="108"/>
      <c r="AC31" s="108">
        <v>0.1</v>
      </c>
      <c r="AD31" s="108"/>
      <c r="AE31" s="108"/>
      <c r="AF31" s="108"/>
      <c r="AG31" s="108"/>
      <c r="AH31" s="108"/>
      <c r="AI31" s="108"/>
      <c r="AJ31" s="108"/>
      <c r="AK31" s="108"/>
      <c r="AL31" s="108"/>
      <c r="AM31" s="108"/>
      <c r="AN31" s="108"/>
      <c r="AO31" s="135"/>
      <c r="AP31" s="103">
        <v>5204112</v>
      </c>
      <c r="AQ31">
        <v>2014</v>
      </c>
    </row>
    <row r="32" ht="20" hidden="1" spans="1:43">
      <c r="A32" s="102">
        <v>30</v>
      </c>
      <c r="B32" s="103">
        <v>2.5</v>
      </c>
      <c r="C32" s="103">
        <v>1108501</v>
      </c>
      <c r="D32" s="105" t="str">
        <f>'[1]课程矩阵合理性检测（自动生成）'!A32</f>
        <v>网络与分布式计算</v>
      </c>
      <c r="E32" s="108"/>
      <c r="F32" s="108"/>
      <c r="G32" s="108"/>
      <c r="H32" s="108"/>
      <c r="I32" s="108"/>
      <c r="J32" s="108"/>
      <c r="K32" s="108"/>
      <c r="L32" s="108"/>
      <c r="M32" s="108"/>
      <c r="N32" s="108"/>
      <c r="O32" s="108"/>
      <c r="P32" s="108"/>
      <c r="Q32" s="108">
        <v>0.2</v>
      </c>
      <c r="R32" s="108"/>
      <c r="S32" s="108"/>
      <c r="T32" s="108"/>
      <c r="U32" s="108">
        <v>0.2</v>
      </c>
      <c r="V32" s="108"/>
      <c r="W32" s="108"/>
      <c r="X32" s="108">
        <v>0.2</v>
      </c>
      <c r="Y32" s="108"/>
      <c r="Z32" s="108"/>
      <c r="AA32" s="108"/>
      <c r="AB32" s="108"/>
      <c r="AC32" s="108"/>
      <c r="AD32" s="108"/>
      <c r="AE32" s="108"/>
      <c r="AF32" s="108"/>
      <c r="AG32" s="108"/>
      <c r="AH32" s="108"/>
      <c r="AI32" s="108"/>
      <c r="AJ32" s="108"/>
      <c r="AK32" s="108"/>
      <c r="AL32" s="108"/>
      <c r="AM32" s="108"/>
      <c r="AN32" s="108"/>
      <c r="AO32" s="135"/>
      <c r="AP32" s="103">
        <v>1108501</v>
      </c>
      <c r="AQ32">
        <v>2014</v>
      </c>
    </row>
    <row r="33" ht="20" hidden="1" spans="1:43">
      <c r="A33" s="102">
        <v>31</v>
      </c>
      <c r="B33" s="103">
        <v>3</v>
      </c>
      <c r="C33" s="103">
        <v>4163001</v>
      </c>
      <c r="D33" s="105" t="str">
        <f>'[1]课程矩阵合理性检测（自动生成）'!A33</f>
        <v>海洋技术导论</v>
      </c>
      <c r="E33" s="108"/>
      <c r="F33" s="108"/>
      <c r="G33" s="108"/>
      <c r="H33" s="108"/>
      <c r="I33" s="108"/>
      <c r="J33" s="108"/>
      <c r="K33" s="108"/>
      <c r="L33" s="108"/>
      <c r="M33" s="108"/>
      <c r="N33" s="108"/>
      <c r="O33" s="108"/>
      <c r="P33" s="108"/>
      <c r="Q33" s="108">
        <v>0.2</v>
      </c>
      <c r="R33" s="108"/>
      <c r="S33" s="108"/>
      <c r="T33" s="108"/>
      <c r="U33" s="108"/>
      <c r="V33" s="108"/>
      <c r="W33" s="108"/>
      <c r="X33" s="108"/>
      <c r="Y33" s="108">
        <v>0.3</v>
      </c>
      <c r="Z33" s="108"/>
      <c r="AA33" s="108">
        <v>0.4</v>
      </c>
      <c r="AB33" s="108"/>
      <c r="AC33" s="108"/>
      <c r="AD33" s="108"/>
      <c r="AE33" s="108"/>
      <c r="AF33" s="108"/>
      <c r="AG33" s="108"/>
      <c r="AH33" s="108"/>
      <c r="AI33" s="108"/>
      <c r="AJ33" s="108"/>
      <c r="AK33" s="108"/>
      <c r="AL33" s="108"/>
      <c r="AM33" s="108"/>
      <c r="AN33" s="108"/>
      <c r="AO33" s="135"/>
      <c r="AP33" s="103">
        <v>4163001</v>
      </c>
      <c r="AQ33">
        <v>2014</v>
      </c>
    </row>
    <row r="34" ht="20" hidden="1" spans="1:43">
      <c r="A34" s="102">
        <v>32</v>
      </c>
      <c r="B34" s="103">
        <v>2</v>
      </c>
      <c r="C34" s="103">
        <v>1706064</v>
      </c>
      <c r="D34" s="105" t="str">
        <f>'[1]课程矩阵合理性检测（自动生成）'!A34</f>
        <v>海洋环境监测与评价</v>
      </c>
      <c r="E34" s="108"/>
      <c r="F34" s="108"/>
      <c r="G34" s="108"/>
      <c r="H34" s="108"/>
      <c r="I34" s="108"/>
      <c r="J34" s="108"/>
      <c r="K34" s="108"/>
      <c r="L34" s="108"/>
      <c r="M34" s="108"/>
      <c r="N34" s="108"/>
      <c r="O34" s="108"/>
      <c r="P34" s="108">
        <v>0.3</v>
      </c>
      <c r="Q34" s="108"/>
      <c r="R34" s="108"/>
      <c r="S34" s="108"/>
      <c r="T34" s="108"/>
      <c r="U34" s="108"/>
      <c r="V34" s="108"/>
      <c r="W34" s="108"/>
      <c r="X34" s="108"/>
      <c r="Y34" s="108">
        <v>0.3</v>
      </c>
      <c r="Z34" s="108">
        <v>0.5</v>
      </c>
      <c r="AA34" s="108">
        <v>0.4</v>
      </c>
      <c r="AB34" s="108"/>
      <c r="AC34" s="108"/>
      <c r="AD34" s="108"/>
      <c r="AE34" s="108"/>
      <c r="AF34" s="108"/>
      <c r="AG34" s="108"/>
      <c r="AH34" s="108"/>
      <c r="AI34" s="108"/>
      <c r="AJ34" s="108"/>
      <c r="AK34" s="108"/>
      <c r="AL34" s="108"/>
      <c r="AM34" s="108"/>
      <c r="AN34" s="108"/>
      <c r="AO34" s="135"/>
      <c r="AP34" s="103">
        <v>1706064</v>
      </c>
      <c r="AQ34">
        <v>2014</v>
      </c>
    </row>
    <row r="35" ht="20" hidden="1" spans="1:43">
      <c r="A35" s="102">
        <v>33</v>
      </c>
      <c r="B35" s="103">
        <v>2</v>
      </c>
      <c r="C35" s="103">
        <v>4133002</v>
      </c>
      <c r="D35" s="105" t="str">
        <f>'[1]课程矩阵合理性检测（自动生成）'!A35</f>
        <v>空间信息导论</v>
      </c>
      <c r="E35" s="108"/>
      <c r="F35" s="108"/>
      <c r="G35" s="108"/>
      <c r="H35" s="108"/>
      <c r="I35" s="108">
        <v>0.2</v>
      </c>
      <c r="J35" s="108"/>
      <c r="K35" s="108"/>
      <c r="L35" s="108">
        <v>0.1</v>
      </c>
      <c r="M35" s="108"/>
      <c r="N35" s="108"/>
      <c r="O35" s="108"/>
      <c r="P35" s="108"/>
      <c r="Q35" s="108">
        <v>0.2</v>
      </c>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35"/>
      <c r="AP35" s="103">
        <v>4133002</v>
      </c>
      <c r="AQ35">
        <v>2014</v>
      </c>
    </row>
    <row r="36" ht="20" hidden="1" spans="1:43">
      <c r="A36" s="102">
        <v>34</v>
      </c>
      <c r="B36" s="103">
        <v>2.5</v>
      </c>
      <c r="C36" s="103">
        <v>4203004</v>
      </c>
      <c r="D36" s="105" t="str">
        <f>'[1]课程矩阵合理性检测（自动生成）'!A36</f>
        <v>地理信息系统</v>
      </c>
      <c r="E36" s="108"/>
      <c r="F36" s="108"/>
      <c r="G36" s="108"/>
      <c r="H36" s="108"/>
      <c r="I36" s="108"/>
      <c r="J36" s="108"/>
      <c r="K36" s="108"/>
      <c r="L36" s="108">
        <v>0.3</v>
      </c>
      <c r="M36" s="108"/>
      <c r="N36" s="108">
        <v>0.2</v>
      </c>
      <c r="O36" s="108"/>
      <c r="P36" s="108"/>
      <c r="Q36" s="108"/>
      <c r="R36" s="108"/>
      <c r="S36" s="108"/>
      <c r="T36" s="108"/>
      <c r="U36" s="108"/>
      <c r="V36" s="108"/>
      <c r="W36" s="108">
        <v>0.2</v>
      </c>
      <c r="X36" s="108"/>
      <c r="Y36" s="108"/>
      <c r="Z36" s="108"/>
      <c r="AA36" s="108"/>
      <c r="AB36" s="108"/>
      <c r="AC36" s="108"/>
      <c r="AD36" s="108"/>
      <c r="AE36" s="108"/>
      <c r="AF36" s="108"/>
      <c r="AG36" s="108"/>
      <c r="AH36" s="108"/>
      <c r="AI36" s="108"/>
      <c r="AJ36" s="108"/>
      <c r="AK36" s="108"/>
      <c r="AL36" s="108"/>
      <c r="AM36" s="108"/>
      <c r="AN36" s="108"/>
      <c r="AO36" s="135"/>
      <c r="AP36" s="103">
        <v>4203004</v>
      </c>
      <c r="AQ36">
        <v>2014</v>
      </c>
    </row>
    <row r="37" ht="20" hidden="1" spans="1:43">
      <c r="A37" s="102">
        <v>35</v>
      </c>
      <c r="B37" s="103">
        <v>3</v>
      </c>
      <c r="C37" s="103">
        <v>4202035</v>
      </c>
      <c r="D37" s="105" t="str">
        <f>'[1]课程矩阵合理性检测（自动生成）'!A37</f>
        <v>GPS 和遥感原理与应用</v>
      </c>
      <c r="E37" s="108"/>
      <c r="F37" s="108"/>
      <c r="G37" s="108"/>
      <c r="H37" s="108"/>
      <c r="I37" s="108"/>
      <c r="J37" s="108"/>
      <c r="K37" s="108"/>
      <c r="L37" s="108"/>
      <c r="M37" s="108"/>
      <c r="N37" s="108"/>
      <c r="O37" s="108"/>
      <c r="P37" s="108"/>
      <c r="Q37" s="108"/>
      <c r="R37" s="108"/>
      <c r="S37" s="108"/>
      <c r="T37" s="108">
        <v>0.3</v>
      </c>
      <c r="U37" s="108"/>
      <c r="V37" s="108"/>
      <c r="W37" s="108">
        <v>0.2</v>
      </c>
      <c r="X37" s="108"/>
      <c r="Y37" s="108">
        <v>0.2</v>
      </c>
      <c r="Z37" s="108"/>
      <c r="AA37" s="108"/>
      <c r="AB37" s="108"/>
      <c r="AC37" s="108"/>
      <c r="AD37" s="108"/>
      <c r="AE37" s="108"/>
      <c r="AF37" s="108"/>
      <c r="AG37" s="108"/>
      <c r="AH37" s="108"/>
      <c r="AI37" s="108"/>
      <c r="AJ37" s="108"/>
      <c r="AK37" s="108"/>
      <c r="AL37" s="108"/>
      <c r="AM37" s="108"/>
      <c r="AN37" s="108"/>
      <c r="AO37" s="135"/>
      <c r="AP37" s="103">
        <v>4202035</v>
      </c>
      <c r="AQ37">
        <v>2014</v>
      </c>
    </row>
    <row r="38" ht="20" hidden="1" spans="1:43">
      <c r="A38" s="102">
        <v>36</v>
      </c>
      <c r="B38" s="103">
        <v>2</v>
      </c>
      <c r="C38" s="103">
        <v>4133012</v>
      </c>
      <c r="D38" s="105" t="str">
        <f>'[1]课程矩阵合理性检测（自动生成）'!A38</f>
        <v>数字工程原理与方法</v>
      </c>
      <c r="E38" s="108">
        <v>0.1</v>
      </c>
      <c r="F38" s="108"/>
      <c r="G38" s="108"/>
      <c r="H38" s="108"/>
      <c r="I38" s="108"/>
      <c r="J38" s="108"/>
      <c r="K38" s="108"/>
      <c r="L38" s="108"/>
      <c r="M38" s="108"/>
      <c r="N38" s="108"/>
      <c r="O38" s="108"/>
      <c r="P38" s="108"/>
      <c r="Q38" s="108"/>
      <c r="R38" s="108"/>
      <c r="S38" s="108"/>
      <c r="T38" s="108">
        <v>0.2</v>
      </c>
      <c r="U38" s="108"/>
      <c r="V38" s="108"/>
      <c r="W38" s="108"/>
      <c r="X38" s="108"/>
      <c r="Y38" s="108"/>
      <c r="Z38" s="108"/>
      <c r="AA38" s="108"/>
      <c r="AB38" s="108"/>
      <c r="AC38" s="108"/>
      <c r="AD38" s="108"/>
      <c r="AE38" s="108"/>
      <c r="AF38" s="108"/>
      <c r="AG38" s="108"/>
      <c r="AH38" s="108"/>
      <c r="AI38" s="108"/>
      <c r="AJ38" s="108"/>
      <c r="AK38" s="108"/>
      <c r="AL38" s="108"/>
      <c r="AM38" s="108">
        <v>0.5</v>
      </c>
      <c r="AN38" s="108"/>
      <c r="AO38" s="135"/>
      <c r="AP38" s="103">
        <v>4133012</v>
      </c>
      <c r="AQ38">
        <v>2014</v>
      </c>
    </row>
    <row r="39" hidden="1" spans="1:43">
      <c r="A39" s="102">
        <v>37</v>
      </c>
      <c r="B39" s="103">
        <v>2</v>
      </c>
      <c r="C39" s="103">
        <v>4133001</v>
      </c>
      <c r="D39" s="105" t="str">
        <f>'[1]课程矩阵合理性检测（自动生成）'!A39</f>
        <v>专业英语</v>
      </c>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v>0.2</v>
      </c>
      <c r="AI39" s="108"/>
      <c r="AJ39" s="108">
        <v>0.5</v>
      </c>
      <c r="AK39" s="108"/>
      <c r="AL39" s="108"/>
      <c r="AM39" s="108"/>
      <c r="AN39" s="108">
        <v>0.1</v>
      </c>
      <c r="AO39" s="135"/>
      <c r="AP39" s="103">
        <v>4133001</v>
      </c>
      <c r="AQ39">
        <v>2014</v>
      </c>
    </row>
    <row r="40" ht="20" hidden="1" spans="1:43">
      <c r="A40" s="102">
        <v>38</v>
      </c>
      <c r="B40" s="103">
        <v>2</v>
      </c>
      <c r="C40" s="103">
        <v>5204161</v>
      </c>
      <c r="D40" s="105" t="str">
        <f>'[1]课程矩阵合理性检测（自动生成）'!A40</f>
        <v>程序设计实践</v>
      </c>
      <c r="E40" s="108"/>
      <c r="F40" s="108"/>
      <c r="G40" s="108"/>
      <c r="H40" s="108"/>
      <c r="I40" s="108"/>
      <c r="J40" s="108"/>
      <c r="K40" s="108"/>
      <c r="L40" s="108"/>
      <c r="M40" s="108"/>
      <c r="N40" s="108"/>
      <c r="O40" s="108"/>
      <c r="P40" s="108"/>
      <c r="Q40" s="108"/>
      <c r="R40" s="108">
        <v>0.2</v>
      </c>
      <c r="S40" s="108">
        <v>0.1</v>
      </c>
      <c r="T40" s="108"/>
      <c r="U40" s="108"/>
      <c r="V40" s="108"/>
      <c r="W40" s="108"/>
      <c r="X40" s="108"/>
      <c r="Y40" s="108"/>
      <c r="Z40" s="108"/>
      <c r="AA40" s="108"/>
      <c r="AB40" s="108"/>
      <c r="AC40" s="108"/>
      <c r="AD40" s="108"/>
      <c r="AE40" s="108"/>
      <c r="AF40" s="108"/>
      <c r="AG40" s="108"/>
      <c r="AH40" s="108"/>
      <c r="AI40" s="108"/>
      <c r="AJ40" s="108"/>
      <c r="AK40" s="108"/>
      <c r="AL40" s="108"/>
      <c r="AM40" s="108">
        <v>0.1</v>
      </c>
      <c r="AN40" s="108">
        <v>0.2</v>
      </c>
      <c r="AO40" s="135"/>
      <c r="AP40" s="103">
        <v>5204161</v>
      </c>
      <c r="AQ40">
        <v>2014</v>
      </c>
    </row>
    <row r="41" ht="20" hidden="1" spans="1:43">
      <c r="A41" s="102">
        <v>39</v>
      </c>
      <c r="B41" s="103">
        <v>2</v>
      </c>
      <c r="C41" s="103">
        <v>5204172</v>
      </c>
      <c r="D41" s="105" t="str">
        <f>'[1]课程矩阵合理性检测（自动生成）'!A41</f>
        <v>JAVA 课程设计</v>
      </c>
      <c r="E41" s="108"/>
      <c r="F41" s="108"/>
      <c r="G41" s="108"/>
      <c r="H41" s="108"/>
      <c r="I41" s="108"/>
      <c r="J41" s="108"/>
      <c r="K41" s="108"/>
      <c r="L41" s="108"/>
      <c r="M41" s="108"/>
      <c r="N41" s="108">
        <v>0.2</v>
      </c>
      <c r="O41" s="108">
        <v>0.2</v>
      </c>
      <c r="P41" s="108"/>
      <c r="Q41" s="108"/>
      <c r="R41" s="108"/>
      <c r="S41" s="108"/>
      <c r="T41" s="108">
        <v>0.2</v>
      </c>
      <c r="U41" s="108"/>
      <c r="V41" s="108"/>
      <c r="W41" s="108"/>
      <c r="X41" s="108"/>
      <c r="Y41" s="108"/>
      <c r="Z41" s="108"/>
      <c r="AA41" s="108"/>
      <c r="AB41" s="108"/>
      <c r="AC41" s="108"/>
      <c r="AD41" s="108"/>
      <c r="AE41" s="108"/>
      <c r="AF41" s="108"/>
      <c r="AG41" s="108"/>
      <c r="AH41" s="108"/>
      <c r="AI41" s="108"/>
      <c r="AJ41" s="108"/>
      <c r="AK41" s="108"/>
      <c r="AL41" s="108"/>
      <c r="AM41" s="108"/>
      <c r="AN41" s="108"/>
      <c r="AO41" s="135"/>
      <c r="AP41" s="103">
        <v>5204172</v>
      </c>
      <c r="AQ41">
        <v>2014</v>
      </c>
    </row>
    <row r="42" hidden="1" spans="1:43">
      <c r="A42" s="102">
        <v>40</v>
      </c>
      <c r="B42" s="103">
        <v>2</v>
      </c>
      <c r="C42" s="103">
        <v>5204168</v>
      </c>
      <c r="D42" s="105" t="str">
        <f>'[1]课程矩阵合理性检测（自动生成）'!A42</f>
        <v>数据库实践</v>
      </c>
      <c r="E42" s="108"/>
      <c r="F42" s="108"/>
      <c r="G42" s="108"/>
      <c r="H42" s="108"/>
      <c r="I42" s="108"/>
      <c r="J42" s="108"/>
      <c r="K42" s="108"/>
      <c r="L42" s="108"/>
      <c r="M42" s="108"/>
      <c r="N42" s="108">
        <v>0.2</v>
      </c>
      <c r="O42" s="108"/>
      <c r="P42" s="108"/>
      <c r="Q42" s="108"/>
      <c r="R42" s="108"/>
      <c r="S42" s="108"/>
      <c r="T42" s="108"/>
      <c r="U42" s="108"/>
      <c r="V42" s="108">
        <v>0.2</v>
      </c>
      <c r="W42" s="108"/>
      <c r="X42" s="29"/>
      <c r="Y42" s="108"/>
      <c r="Z42" s="108"/>
      <c r="AA42" s="108"/>
      <c r="AB42" s="108"/>
      <c r="AC42" s="108"/>
      <c r="AD42" s="108"/>
      <c r="AE42" s="108"/>
      <c r="AF42" s="108"/>
      <c r="AG42" s="108"/>
      <c r="AH42" s="108"/>
      <c r="AI42" s="108"/>
      <c r="AJ42" s="108"/>
      <c r="AK42" s="108">
        <v>0.2</v>
      </c>
      <c r="AL42" s="29"/>
      <c r="AM42" s="108">
        <v>0.2</v>
      </c>
      <c r="AN42" s="108"/>
      <c r="AO42" s="135"/>
      <c r="AP42" s="103">
        <v>5204168</v>
      </c>
      <c r="AQ42">
        <v>2014</v>
      </c>
    </row>
    <row r="43" ht="20" hidden="1" spans="1:43">
      <c r="A43" s="102">
        <v>41</v>
      </c>
      <c r="B43" s="103">
        <v>2</v>
      </c>
      <c r="C43" s="103">
        <v>4202040</v>
      </c>
      <c r="D43" s="105" t="str">
        <f>'[1]课程矩阵合理性检测（自动生成）'!A43</f>
        <v>GIS系统开发实践</v>
      </c>
      <c r="E43" s="108"/>
      <c r="F43" s="108"/>
      <c r="G43" s="108"/>
      <c r="H43" s="108"/>
      <c r="I43" s="108"/>
      <c r="J43" s="108"/>
      <c r="K43" s="108"/>
      <c r="L43" s="108"/>
      <c r="M43" s="108"/>
      <c r="N43" s="108"/>
      <c r="O43" s="108"/>
      <c r="P43" s="108">
        <v>0.2</v>
      </c>
      <c r="Q43" s="108"/>
      <c r="R43" s="108">
        <v>0.2</v>
      </c>
      <c r="S43" s="108"/>
      <c r="T43" s="108"/>
      <c r="U43" s="108"/>
      <c r="V43" s="108"/>
      <c r="W43" s="108"/>
      <c r="X43" s="29"/>
      <c r="Y43" s="108"/>
      <c r="Z43" s="108"/>
      <c r="AA43" s="108"/>
      <c r="AB43" s="108"/>
      <c r="AC43" s="108"/>
      <c r="AD43" s="108"/>
      <c r="AE43" s="108"/>
      <c r="AF43" s="108"/>
      <c r="AG43" s="108">
        <v>0.3</v>
      </c>
      <c r="AH43" s="108"/>
      <c r="AI43" s="108"/>
      <c r="AJ43" s="108"/>
      <c r="AK43" s="108">
        <v>0.1</v>
      </c>
      <c r="AL43" s="108"/>
      <c r="AM43" s="108"/>
      <c r="AN43" s="108"/>
      <c r="AO43" s="135"/>
      <c r="AP43" s="103">
        <v>4202040</v>
      </c>
      <c r="AQ43">
        <v>2014</v>
      </c>
    </row>
    <row r="44" ht="20" hidden="1" spans="1:43">
      <c r="A44" s="102">
        <v>42</v>
      </c>
      <c r="B44" s="103">
        <v>2</v>
      </c>
      <c r="C44" s="103">
        <v>5204156</v>
      </c>
      <c r="D44" s="105" t="str">
        <f>'[1]课程矩阵合理性检测（自动生成）'!A44</f>
        <v>专业技能实践</v>
      </c>
      <c r="E44" s="108"/>
      <c r="F44" s="108"/>
      <c r="G44" s="108"/>
      <c r="H44" s="108"/>
      <c r="I44" s="108"/>
      <c r="J44" s="108"/>
      <c r="K44" s="108"/>
      <c r="L44" s="108"/>
      <c r="M44" s="108"/>
      <c r="N44" s="108"/>
      <c r="O44" s="108"/>
      <c r="P44" s="108"/>
      <c r="Q44" s="108"/>
      <c r="R44" s="108"/>
      <c r="S44" s="108">
        <v>0.4</v>
      </c>
      <c r="T44" s="108"/>
      <c r="U44" s="108"/>
      <c r="V44" s="108"/>
      <c r="W44" s="108"/>
      <c r="X44" s="108"/>
      <c r="Y44" s="108"/>
      <c r="Z44" s="108"/>
      <c r="AA44" s="108"/>
      <c r="AB44" s="108"/>
      <c r="AC44" s="108"/>
      <c r="AD44" s="108"/>
      <c r="AE44" s="108">
        <v>0.4</v>
      </c>
      <c r="AF44" s="108">
        <v>0.4</v>
      </c>
      <c r="AG44" s="108">
        <v>0.3</v>
      </c>
      <c r="AH44" s="108"/>
      <c r="AI44" s="108"/>
      <c r="AJ44" s="108"/>
      <c r="AK44" s="108"/>
      <c r="AL44" s="108">
        <v>0.1</v>
      </c>
      <c r="AM44" s="108"/>
      <c r="AN44" s="108"/>
      <c r="AO44" s="135"/>
      <c r="AP44" s="103">
        <v>5204156</v>
      </c>
      <c r="AQ44">
        <v>2014</v>
      </c>
    </row>
    <row r="45" hidden="1" spans="1:43">
      <c r="A45" s="102">
        <v>43</v>
      </c>
      <c r="B45" s="103">
        <v>12</v>
      </c>
      <c r="C45" s="103">
        <v>4133014</v>
      </c>
      <c r="D45" s="105" t="str">
        <f>'[1]课程矩阵合理性检测（自动生成）'!A45</f>
        <v>毕业论文</v>
      </c>
      <c r="E45" s="108"/>
      <c r="F45" s="108"/>
      <c r="G45" s="108"/>
      <c r="H45" s="108"/>
      <c r="I45" s="108"/>
      <c r="J45" s="108"/>
      <c r="K45" s="108"/>
      <c r="L45" s="108"/>
      <c r="M45" s="108">
        <v>0.3</v>
      </c>
      <c r="N45" s="108"/>
      <c r="O45" s="108">
        <v>0.2</v>
      </c>
      <c r="P45" s="108"/>
      <c r="Q45" s="108"/>
      <c r="R45" s="108"/>
      <c r="S45" s="108"/>
      <c r="T45" s="108"/>
      <c r="U45" s="108"/>
      <c r="V45" s="108"/>
      <c r="W45" s="108"/>
      <c r="X45" s="108"/>
      <c r="Y45" s="108"/>
      <c r="Z45" s="108"/>
      <c r="AA45" s="108"/>
      <c r="AB45" s="108"/>
      <c r="AC45" s="108"/>
      <c r="AD45" s="108"/>
      <c r="AE45" s="108"/>
      <c r="AF45" s="108"/>
      <c r="AG45" s="108"/>
      <c r="AH45" s="108">
        <v>0.4</v>
      </c>
      <c r="AI45" s="108">
        <v>0.2</v>
      </c>
      <c r="AJ45" s="108"/>
      <c r="AK45" s="108">
        <v>0.2</v>
      </c>
      <c r="AL45" s="108"/>
      <c r="AM45" s="108">
        <v>0.2</v>
      </c>
      <c r="AN45" s="108"/>
      <c r="AO45" s="135"/>
      <c r="AP45" s="103">
        <v>4133014</v>
      </c>
      <c r="AQ45">
        <v>2014</v>
      </c>
    </row>
    <row r="46" ht="20" hidden="1" spans="1:43">
      <c r="A46" s="102">
        <v>44</v>
      </c>
      <c r="B46" s="103">
        <v>2.5</v>
      </c>
      <c r="C46" s="103">
        <v>5204084</v>
      </c>
      <c r="D46" s="105" t="str">
        <f>'[1]课程矩阵合理性检测（自动生成）'!A46</f>
        <v>可视化程序设计 A</v>
      </c>
      <c r="E46" s="108"/>
      <c r="F46" s="108"/>
      <c r="G46" s="108"/>
      <c r="H46" s="108"/>
      <c r="I46" s="108"/>
      <c r="J46" s="108"/>
      <c r="K46" s="108"/>
      <c r="L46" s="108"/>
      <c r="M46" s="108">
        <v>0.2</v>
      </c>
      <c r="N46" s="108"/>
      <c r="O46" s="108"/>
      <c r="P46" s="108"/>
      <c r="Q46" s="108"/>
      <c r="R46" s="108">
        <v>0.2</v>
      </c>
      <c r="S46" s="108"/>
      <c r="T46" s="108"/>
      <c r="U46" s="108">
        <v>0.2</v>
      </c>
      <c r="V46" s="108"/>
      <c r="W46" s="108"/>
      <c r="X46" s="108"/>
      <c r="Y46" s="108"/>
      <c r="Z46" s="108"/>
      <c r="AA46" s="108"/>
      <c r="AB46" s="108"/>
      <c r="AC46" s="108"/>
      <c r="AD46" s="108"/>
      <c r="AE46" s="108"/>
      <c r="AF46" s="108"/>
      <c r="AG46" s="108"/>
      <c r="AH46" s="108"/>
      <c r="AI46" s="108"/>
      <c r="AJ46" s="108"/>
      <c r="AK46" s="108"/>
      <c r="AL46" s="108"/>
      <c r="AM46" s="108"/>
      <c r="AN46" s="108"/>
      <c r="AO46" s="135"/>
      <c r="AP46" s="103">
        <v>5204084</v>
      </c>
      <c r="AQ46">
        <v>2014</v>
      </c>
    </row>
    <row r="47" ht="20" hidden="1" spans="1:43">
      <c r="A47" s="102">
        <v>45</v>
      </c>
      <c r="B47" s="103">
        <v>2</v>
      </c>
      <c r="C47" s="103">
        <v>5201031</v>
      </c>
      <c r="D47" s="105" t="str">
        <f>'[1]课程矩阵合理性检测（自动生成）'!A47</f>
        <v>信息安全概论</v>
      </c>
      <c r="E47" s="108"/>
      <c r="F47" s="108"/>
      <c r="G47" s="108"/>
      <c r="H47" s="108"/>
      <c r="I47" s="108"/>
      <c r="J47" s="108"/>
      <c r="K47" s="108"/>
      <c r="L47" s="108"/>
      <c r="M47" s="108"/>
      <c r="N47" s="108"/>
      <c r="O47" s="108"/>
      <c r="P47" s="108">
        <v>0.3</v>
      </c>
      <c r="Q47" s="108"/>
      <c r="R47" s="108"/>
      <c r="S47" s="108"/>
      <c r="T47" s="108"/>
      <c r="U47" s="108"/>
      <c r="V47" s="108"/>
      <c r="W47" s="108"/>
      <c r="X47" s="108"/>
      <c r="Y47" s="108">
        <v>0.2</v>
      </c>
      <c r="Z47" s="108"/>
      <c r="AA47" s="108"/>
      <c r="AB47" s="108"/>
      <c r="AC47" s="108"/>
      <c r="AD47" s="108"/>
      <c r="AE47" s="108"/>
      <c r="AF47" s="108"/>
      <c r="AG47" s="108"/>
      <c r="AH47" s="108"/>
      <c r="AI47" s="108"/>
      <c r="AJ47" s="108"/>
      <c r="AK47" s="108"/>
      <c r="AL47" s="108">
        <v>0.2</v>
      </c>
      <c r="AM47" s="108"/>
      <c r="AN47" s="108"/>
      <c r="AO47" s="135"/>
      <c r="AP47" s="103">
        <v>5201031</v>
      </c>
      <c r="AQ47">
        <v>2014</v>
      </c>
    </row>
    <row r="48" ht="20" hidden="1" spans="1:43">
      <c r="A48" s="102">
        <v>46</v>
      </c>
      <c r="B48" s="103">
        <v>2.5</v>
      </c>
      <c r="C48" s="103">
        <v>5206053</v>
      </c>
      <c r="D48" s="105" t="str">
        <f>'[1]课程矩阵合理性检测（自动生成）'!A48</f>
        <v>计算机图形学</v>
      </c>
      <c r="E48" s="108"/>
      <c r="F48" s="108"/>
      <c r="G48" s="108"/>
      <c r="H48" s="108"/>
      <c r="I48" s="108"/>
      <c r="J48" s="108">
        <v>0.2</v>
      </c>
      <c r="K48" s="108"/>
      <c r="L48" s="108"/>
      <c r="M48" s="108">
        <v>0.1</v>
      </c>
      <c r="N48" s="108"/>
      <c r="O48" s="108"/>
      <c r="P48" s="108"/>
      <c r="Q48" s="108"/>
      <c r="R48" s="108">
        <v>0.2</v>
      </c>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35"/>
      <c r="AP48" s="103">
        <v>5206053</v>
      </c>
      <c r="AQ48">
        <v>2014</v>
      </c>
    </row>
    <row r="49" hidden="1" spans="1:43">
      <c r="A49" s="102">
        <v>47</v>
      </c>
      <c r="B49" s="103">
        <v>2</v>
      </c>
      <c r="C49" s="103">
        <v>5203018</v>
      </c>
      <c r="D49" s="105" t="str">
        <f>'[1]课程矩阵合理性检测（自动生成）'!A49</f>
        <v>物联网引论</v>
      </c>
      <c r="E49" s="108"/>
      <c r="F49" s="108"/>
      <c r="G49" s="108"/>
      <c r="H49" s="108"/>
      <c r="I49" s="108">
        <v>0.2</v>
      </c>
      <c r="J49" s="108"/>
      <c r="K49" s="108"/>
      <c r="L49" s="108"/>
      <c r="M49" s="108"/>
      <c r="N49" s="108">
        <v>0.2</v>
      </c>
      <c r="O49" s="108">
        <v>0.2</v>
      </c>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35"/>
      <c r="AP49" s="103">
        <v>5203018</v>
      </c>
      <c r="AQ49">
        <v>2014</v>
      </c>
    </row>
    <row r="50" ht="20" hidden="1" spans="1:43">
      <c r="A50" s="102">
        <v>48</v>
      </c>
      <c r="B50" s="103">
        <v>2</v>
      </c>
      <c r="C50" s="103">
        <v>5105001</v>
      </c>
      <c r="D50" s="105" t="str">
        <f>'[1]课程矩阵合理性检测（自动生成）'!A50</f>
        <v>现代通信原理</v>
      </c>
      <c r="E50" s="108"/>
      <c r="F50" s="108"/>
      <c r="G50" s="108"/>
      <c r="H50" s="108"/>
      <c r="I50" s="108"/>
      <c r="J50" s="108"/>
      <c r="K50" s="108"/>
      <c r="L50" s="108"/>
      <c r="M50" s="108"/>
      <c r="N50" s="108">
        <v>0.2</v>
      </c>
      <c r="O50" s="108"/>
      <c r="P50" s="108"/>
      <c r="Q50" s="108">
        <v>0.1</v>
      </c>
      <c r="R50" s="108"/>
      <c r="S50" s="108">
        <v>0.2</v>
      </c>
      <c r="T50" s="108"/>
      <c r="U50" s="108"/>
      <c r="V50" s="108"/>
      <c r="W50" s="108"/>
      <c r="X50" s="108"/>
      <c r="Y50" s="108"/>
      <c r="Z50" s="108"/>
      <c r="AA50" s="108"/>
      <c r="AB50" s="108"/>
      <c r="AC50" s="108"/>
      <c r="AD50" s="108"/>
      <c r="AE50" s="108"/>
      <c r="AF50" s="108"/>
      <c r="AG50" s="108"/>
      <c r="AH50" s="108"/>
      <c r="AI50" s="108"/>
      <c r="AJ50" s="108"/>
      <c r="AK50" s="108"/>
      <c r="AL50" s="108"/>
      <c r="AM50" s="108"/>
      <c r="AN50" s="108"/>
      <c r="AO50" s="135"/>
      <c r="AP50" s="103">
        <v>5105001</v>
      </c>
      <c r="AQ50">
        <v>2014</v>
      </c>
    </row>
    <row r="51" hidden="1" spans="1:43">
      <c r="A51" s="102">
        <v>49</v>
      </c>
      <c r="B51" s="103">
        <v>2.5</v>
      </c>
      <c r="C51" s="103">
        <v>5204094</v>
      </c>
      <c r="D51" s="105" t="str">
        <f>'[1]课程矩阵合理性检测（自动生成）'!A51</f>
        <v>软件工程</v>
      </c>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v>0.2</v>
      </c>
      <c r="AG51" s="108"/>
      <c r="AH51" s="108"/>
      <c r="AI51" s="108"/>
      <c r="AJ51" s="108"/>
      <c r="AK51" s="108">
        <v>0.5</v>
      </c>
      <c r="AL51" s="108">
        <v>0.4</v>
      </c>
      <c r="AM51" s="108"/>
      <c r="AN51" s="108"/>
      <c r="AO51" s="135"/>
      <c r="AP51" s="103">
        <v>5204094</v>
      </c>
      <c r="AQ51">
        <v>2014</v>
      </c>
    </row>
    <row r="52" ht="20" hidden="1" spans="1:43">
      <c r="A52" s="102">
        <v>50</v>
      </c>
      <c r="B52" s="103">
        <v>2.5</v>
      </c>
      <c r="C52" s="103">
        <v>5104012</v>
      </c>
      <c r="D52" s="105" t="str">
        <f>'[1]课程矩阵合理性检测（自动生成）'!A52</f>
        <v>数字图像处理</v>
      </c>
      <c r="E52" s="108"/>
      <c r="F52" s="108"/>
      <c r="G52" s="108"/>
      <c r="H52" s="108"/>
      <c r="I52" s="108"/>
      <c r="J52" s="108">
        <v>0.2</v>
      </c>
      <c r="K52" s="108"/>
      <c r="L52" s="108">
        <v>0.2</v>
      </c>
      <c r="M52" s="108"/>
      <c r="N52" s="108"/>
      <c r="O52" s="108"/>
      <c r="P52" s="108"/>
      <c r="Q52" s="108"/>
      <c r="R52" s="108"/>
      <c r="S52" s="108"/>
      <c r="T52" s="108"/>
      <c r="U52" s="108"/>
      <c r="V52" s="108">
        <v>0.1</v>
      </c>
      <c r="W52" s="108"/>
      <c r="X52" s="108"/>
      <c r="Y52" s="108"/>
      <c r="Z52" s="108"/>
      <c r="AA52" s="108"/>
      <c r="AB52" s="108"/>
      <c r="AC52" s="108"/>
      <c r="AD52" s="108"/>
      <c r="AE52" s="108"/>
      <c r="AF52" s="108"/>
      <c r="AG52" s="108"/>
      <c r="AH52" s="108"/>
      <c r="AI52" s="108"/>
      <c r="AJ52" s="108"/>
      <c r="AK52" s="108"/>
      <c r="AL52" s="108"/>
      <c r="AM52" s="108"/>
      <c r="AN52" s="108"/>
      <c r="AO52" s="135"/>
      <c r="AP52" s="103">
        <v>5104012</v>
      </c>
      <c r="AQ52">
        <v>2014</v>
      </c>
    </row>
    <row r="53" hidden="1" spans="1:43">
      <c r="A53" s="102">
        <v>51</v>
      </c>
      <c r="B53" s="103">
        <v>1</v>
      </c>
      <c r="C53" s="103">
        <v>5201037</v>
      </c>
      <c r="D53" s="105" t="str">
        <f>'[1]课程矩阵合理性检测（自动生成）'!A53</f>
        <v>模式识别</v>
      </c>
      <c r="E53" s="108"/>
      <c r="F53" s="108"/>
      <c r="G53" s="108"/>
      <c r="H53" s="108"/>
      <c r="I53" s="108">
        <v>0.1</v>
      </c>
      <c r="J53" s="108"/>
      <c r="K53" s="108"/>
      <c r="L53" s="108">
        <v>0.2</v>
      </c>
      <c r="M53" s="108"/>
      <c r="N53" s="108"/>
      <c r="O53" s="108"/>
      <c r="P53" s="108"/>
      <c r="Q53" s="108"/>
      <c r="R53" s="108"/>
      <c r="S53" s="108"/>
      <c r="T53" s="108"/>
      <c r="U53" s="108"/>
      <c r="V53" s="108">
        <v>0.2</v>
      </c>
      <c r="W53" s="108"/>
      <c r="X53" s="108"/>
      <c r="Y53" s="108"/>
      <c r="Z53" s="108"/>
      <c r="AA53" s="108"/>
      <c r="AB53" s="108"/>
      <c r="AC53" s="108"/>
      <c r="AD53" s="108"/>
      <c r="AE53" s="108"/>
      <c r="AF53" s="108"/>
      <c r="AG53" s="108"/>
      <c r="AH53" s="108"/>
      <c r="AI53" s="108"/>
      <c r="AJ53" s="108"/>
      <c r="AK53" s="108"/>
      <c r="AL53" s="108"/>
      <c r="AM53" s="108"/>
      <c r="AN53" s="108"/>
      <c r="AO53" s="135"/>
      <c r="AP53" s="103">
        <v>5201037</v>
      </c>
      <c r="AQ53">
        <v>2014</v>
      </c>
    </row>
    <row r="54" ht="20" hidden="1" spans="1:43">
      <c r="A54" s="102">
        <v>52</v>
      </c>
      <c r="B54" s="103">
        <v>2</v>
      </c>
      <c r="C54" s="103">
        <v>5204098</v>
      </c>
      <c r="D54" s="105" t="str">
        <f>'[1]课程矩阵合理性检测（自动生成）'!A54</f>
        <v>数据仓库与数据挖掘</v>
      </c>
      <c r="E54" s="108"/>
      <c r="F54" s="108"/>
      <c r="G54" s="108">
        <v>0.2</v>
      </c>
      <c r="H54" s="108"/>
      <c r="I54" s="108"/>
      <c r="J54" s="108"/>
      <c r="K54" s="108"/>
      <c r="L54" s="108">
        <v>0.1</v>
      </c>
      <c r="M54" s="108"/>
      <c r="N54" s="108"/>
      <c r="O54" s="108"/>
      <c r="P54" s="108"/>
      <c r="Q54" s="108"/>
      <c r="R54" s="108"/>
      <c r="S54" s="108">
        <v>0.2</v>
      </c>
      <c r="T54" s="108"/>
      <c r="U54" s="108"/>
      <c r="V54" s="108"/>
      <c r="W54" s="108"/>
      <c r="X54" s="108"/>
      <c r="Y54" s="108"/>
      <c r="Z54" s="108"/>
      <c r="AA54" s="108"/>
      <c r="AB54" s="108"/>
      <c r="AC54" s="108"/>
      <c r="AD54" s="108"/>
      <c r="AE54" s="108"/>
      <c r="AF54" s="108"/>
      <c r="AG54" s="108"/>
      <c r="AH54" s="108"/>
      <c r="AI54" s="108"/>
      <c r="AJ54" s="108"/>
      <c r="AK54" s="108"/>
      <c r="AL54" s="108"/>
      <c r="AM54" s="108"/>
      <c r="AN54" s="108"/>
      <c r="AO54" s="135"/>
      <c r="AP54" s="103">
        <v>5204098</v>
      </c>
      <c r="AQ54">
        <v>2014</v>
      </c>
    </row>
    <row r="55" ht="20" hidden="1" spans="1:43">
      <c r="A55" s="102">
        <v>53</v>
      </c>
      <c r="B55" s="103">
        <v>2.5</v>
      </c>
      <c r="C55" s="103">
        <v>4133007</v>
      </c>
      <c r="D55" s="105" t="str">
        <f>'[1]课程矩阵合理性检测（自动生成）'!A55</f>
        <v>空间数据库原理与设计</v>
      </c>
      <c r="E55" s="108"/>
      <c r="F55" s="108"/>
      <c r="G55" s="108"/>
      <c r="H55" s="108"/>
      <c r="I55" s="108"/>
      <c r="J55" s="108"/>
      <c r="K55" s="108"/>
      <c r="L55" s="108"/>
      <c r="M55" s="108">
        <v>0.2</v>
      </c>
      <c r="N55" s="108"/>
      <c r="O55" s="108"/>
      <c r="P55" s="108"/>
      <c r="Q55" s="108"/>
      <c r="R55" s="108">
        <v>0.2</v>
      </c>
      <c r="S55" s="108"/>
      <c r="T55" s="108"/>
      <c r="U55" s="108"/>
      <c r="V55" s="108"/>
      <c r="W55" s="108"/>
      <c r="X55" s="108"/>
      <c r="Y55" s="108"/>
      <c r="Z55" s="108"/>
      <c r="AA55" s="108"/>
      <c r="AB55" s="108"/>
      <c r="AC55" s="108"/>
      <c r="AD55" s="108"/>
      <c r="AE55" s="108"/>
      <c r="AF55" s="108"/>
      <c r="AG55" s="108"/>
      <c r="AH55" s="108"/>
      <c r="AI55" s="108"/>
      <c r="AJ55" s="108"/>
      <c r="AK55" s="108"/>
      <c r="AL55" s="108">
        <v>0.3</v>
      </c>
      <c r="AM55" s="108"/>
      <c r="AN55" s="108"/>
      <c r="AO55" s="135"/>
      <c r="AP55" s="103">
        <v>4133007</v>
      </c>
      <c r="AQ55">
        <v>2014</v>
      </c>
    </row>
    <row r="56" ht="20" hidden="1" spans="1:43">
      <c r="A56" s="102">
        <v>54</v>
      </c>
      <c r="B56" s="103">
        <v>2.5</v>
      </c>
      <c r="C56" s="103">
        <v>4133005</v>
      </c>
      <c r="D56" s="105" t="str">
        <f>'[1]课程矩阵合理性检测（自动生成）'!A56</f>
        <v>空间决策与支持</v>
      </c>
      <c r="E56" s="108"/>
      <c r="F56" s="108"/>
      <c r="G56" s="108"/>
      <c r="H56" s="108">
        <v>0.3</v>
      </c>
      <c r="I56" s="108"/>
      <c r="J56" s="108"/>
      <c r="K56" s="108">
        <v>0.2</v>
      </c>
      <c r="L56" s="108"/>
      <c r="M56" s="108"/>
      <c r="N56" s="108"/>
      <c r="O56" s="108"/>
      <c r="P56" s="108"/>
      <c r="Q56" s="108"/>
      <c r="R56" s="108"/>
      <c r="S56" s="108"/>
      <c r="T56" s="108"/>
      <c r="U56" s="108"/>
      <c r="V56" s="108"/>
      <c r="W56" s="108"/>
      <c r="X56" s="108"/>
      <c r="Y56" s="108"/>
      <c r="Z56" s="108">
        <v>0.4</v>
      </c>
      <c r="AA56" s="108"/>
      <c r="AB56" s="108"/>
      <c r="AC56" s="108"/>
      <c r="AD56" s="108"/>
      <c r="AE56" s="108"/>
      <c r="AF56" s="108"/>
      <c r="AG56" s="108"/>
      <c r="AH56" s="108"/>
      <c r="AI56" s="108"/>
      <c r="AJ56" s="108"/>
      <c r="AK56" s="108"/>
      <c r="AL56" s="108"/>
      <c r="AM56" s="108"/>
      <c r="AN56" s="108"/>
      <c r="AO56" s="135"/>
      <c r="AP56" s="103">
        <v>4133005</v>
      </c>
      <c r="AQ56">
        <v>2014</v>
      </c>
    </row>
    <row r="57" ht="20.75" hidden="1" spans="1:43">
      <c r="A57" s="109">
        <v>55</v>
      </c>
      <c r="B57" s="110">
        <v>2</v>
      </c>
      <c r="C57" s="110">
        <v>4133006</v>
      </c>
      <c r="D57" s="105" t="str">
        <f>'[1]课程矩阵合理性检测（自动生成）'!A57</f>
        <v>空间建模与数据分析</v>
      </c>
      <c r="E57" s="111"/>
      <c r="F57" s="111">
        <v>0.1</v>
      </c>
      <c r="G57" s="111">
        <v>0.2</v>
      </c>
      <c r="H57" s="111"/>
      <c r="I57" s="111"/>
      <c r="J57" s="111"/>
      <c r="K57" s="111"/>
      <c r="L57" s="111"/>
      <c r="M57" s="111"/>
      <c r="N57" s="111"/>
      <c r="O57" s="111"/>
      <c r="P57" s="111"/>
      <c r="Q57" s="111"/>
      <c r="R57" s="111"/>
      <c r="S57" s="111"/>
      <c r="T57" s="111"/>
      <c r="U57" s="111"/>
      <c r="V57" s="111"/>
      <c r="W57" s="111">
        <v>0.2</v>
      </c>
      <c r="X57" s="111"/>
      <c r="Y57" s="111"/>
      <c r="Z57" s="111"/>
      <c r="AA57" s="111"/>
      <c r="AB57" s="111"/>
      <c r="AC57" s="111"/>
      <c r="AD57" s="111"/>
      <c r="AE57" s="111"/>
      <c r="AF57" s="111"/>
      <c r="AG57" s="111"/>
      <c r="AH57" s="111"/>
      <c r="AI57" s="111"/>
      <c r="AJ57" s="111"/>
      <c r="AK57" s="111"/>
      <c r="AL57" s="111"/>
      <c r="AM57" s="111"/>
      <c r="AN57" s="111"/>
      <c r="AO57" s="136"/>
      <c r="AP57" s="110">
        <v>4133006</v>
      </c>
      <c r="AQ57">
        <v>2014</v>
      </c>
    </row>
    <row r="58" s="89" customFormat="1" ht="20.75" spans="1:43">
      <c r="A58" s="112">
        <v>1</v>
      </c>
      <c r="B58" s="112">
        <v>1</v>
      </c>
      <c r="C58" s="112">
        <v>1000000</v>
      </c>
      <c r="D58" s="112" t="s">
        <v>515</v>
      </c>
      <c r="E58" s="113"/>
      <c r="F58" s="114"/>
      <c r="G58" s="115"/>
      <c r="H58" s="115"/>
      <c r="I58" s="115"/>
      <c r="J58" s="115"/>
      <c r="K58" s="115"/>
      <c r="L58" s="115"/>
      <c r="M58" s="115"/>
      <c r="N58" s="115"/>
      <c r="O58" s="115"/>
      <c r="P58" s="115"/>
      <c r="Q58" s="115"/>
      <c r="R58" s="115"/>
      <c r="S58" s="115"/>
      <c r="T58" s="115"/>
      <c r="U58" s="115"/>
      <c r="V58" s="115"/>
      <c r="W58" s="115"/>
      <c r="X58" s="115"/>
      <c r="Y58" s="115"/>
      <c r="Z58" s="115"/>
      <c r="AA58" s="115"/>
      <c r="AB58" s="115">
        <v>0.1</v>
      </c>
      <c r="AC58" s="115">
        <v>0.1</v>
      </c>
      <c r="AD58" s="115">
        <v>0.1</v>
      </c>
      <c r="AE58" s="115"/>
      <c r="AF58" s="115"/>
      <c r="AG58" s="115"/>
      <c r="AH58" s="115"/>
      <c r="AI58" s="115"/>
      <c r="AJ58" s="115"/>
      <c r="AK58" s="115"/>
      <c r="AL58" s="115"/>
      <c r="AM58" s="115"/>
      <c r="AN58" s="115"/>
      <c r="AO58" s="137"/>
      <c r="AP58" s="138">
        <v>1000000</v>
      </c>
      <c r="AQ58" s="89">
        <v>2014</v>
      </c>
    </row>
    <row r="59" s="89" customFormat="1" ht="50.75" spans="1:43">
      <c r="A59" s="112">
        <v>2</v>
      </c>
      <c r="B59" s="112">
        <v>2</v>
      </c>
      <c r="C59" s="112">
        <v>1000000</v>
      </c>
      <c r="D59" s="112" t="s">
        <v>516</v>
      </c>
      <c r="E59" s="113"/>
      <c r="F59" s="114"/>
      <c r="G59" s="115"/>
      <c r="H59" s="115"/>
      <c r="I59" s="115"/>
      <c r="J59" s="115"/>
      <c r="K59" s="115"/>
      <c r="L59" s="115"/>
      <c r="M59" s="115"/>
      <c r="N59" s="115"/>
      <c r="O59" s="115"/>
      <c r="P59" s="115"/>
      <c r="Q59" s="115"/>
      <c r="R59" s="115"/>
      <c r="S59" s="115"/>
      <c r="T59" s="115"/>
      <c r="U59" s="115"/>
      <c r="V59" s="115"/>
      <c r="W59" s="115"/>
      <c r="X59" s="115"/>
      <c r="Y59" s="115"/>
      <c r="Z59" s="115"/>
      <c r="AA59" s="115">
        <v>0.2</v>
      </c>
      <c r="AB59" s="115">
        <v>0.2</v>
      </c>
      <c r="AC59" s="115"/>
      <c r="AD59" s="115">
        <v>0.3</v>
      </c>
      <c r="AE59" s="115"/>
      <c r="AF59" s="115"/>
      <c r="AG59" s="115"/>
      <c r="AH59" s="115"/>
      <c r="AI59" s="115"/>
      <c r="AJ59" s="115"/>
      <c r="AK59" s="115"/>
      <c r="AL59" s="115"/>
      <c r="AM59" s="115"/>
      <c r="AN59" s="115"/>
      <c r="AO59" s="137"/>
      <c r="AP59" s="138">
        <v>1000000</v>
      </c>
      <c r="AQ59" s="89">
        <v>2014</v>
      </c>
    </row>
    <row r="60" s="89" customFormat="1" ht="20.75" spans="1:43">
      <c r="A60" s="112">
        <v>3</v>
      </c>
      <c r="B60" s="112">
        <v>2</v>
      </c>
      <c r="C60" s="112">
        <v>1000000</v>
      </c>
      <c r="D60" s="112" t="s">
        <v>517</v>
      </c>
      <c r="E60" s="113"/>
      <c r="F60" s="114"/>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v>0.3</v>
      </c>
      <c r="AF60" s="115">
        <v>0.2</v>
      </c>
      <c r="AG60" s="115">
        <v>0.2</v>
      </c>
      <c r="AH60" s="115"/>
      <c r="AI60" s="115"/>
      <c r="AJ60" s="115"/>
      <c r="AK60" s="115"/>
      <c r="AL60" s="115"/>
      <c r="AM60" s="115"/>
      <c r="AN60" s="115"/>
      <c r="AO60" s="137"/>
      <c r="AP60" s="138">
        <v>1000000</v>
      </c>
      <c r="AQ60" s="89">
        <v>2014</v>
      </c>
    </row>
    <row r="61" s="89" customFormat="1" ht="30.75" spans="1:43">
      <c r="A61" s="112">
        <v>4</v>
      </c>
      <c r="B61" s="112">
        <v>2</v>
      </c>
      <c r="C61" s="112">
        <v>1000000</v>
      </c>
      <c r="D61" s="112" t="s">
        <v>518</v>
      </c>
      <c r="E61" s="113"/>
      <c r="F61" s="114"/>
      <c r="G61" s="115"/>
      <c r="H61" s="115"/>
      <c r="I61" s="115"/>
      <c r="J61" s="115"/>
      <c r="K61" s="115"/>
      <c r="L61" s="115"/>
      <c r="M61" s="115"/>
      <c r="N61" s="115"/>
      <c r="O61" s="115"/>
      <c r="P61" s="115"/>
      <c r="Q61" s="115"/>
      <c r="R61" s="115"/>
      <c r="S61" s="115"/>
      <c r="T61" s="115"/>
      <c r="U61" s="115"/>
      <c r="V61" s="115"/>
      <c r="W61" s="115"/>
      <c r="X61" s="115">
        <v>0.1</v>
      </c>
      <c r="Y61" s="115"/>
      <c r="Z61" s="115"/>
      <c r="AA61" s="115"/>
      <c r="AB61" s="115">
        <v>0.2</v>
      </c>
      <c r="AC61" s="115"/>
      <c r="AD61" s="115">
        <v>0.2</v>
      </c>
      <c r="AE61" s="115"/>
      <c r="AF61" s="115"/>
      <c r="AG61" s="115"/>
      <c r="AH61" s="115"/>
      <c r="AI61" s="115"/>
      <c r="AJ61" s="115"/>
      <c r="AK61" s="115"/>
      <c r="AL61" s="115"/>
      <c r="AM61" s="115"/>
      <c r="AN61" s="115"/>
      <c r="AO61" s="137"/>
      <c r="AP61" s="138">
        <v>1000000</v>
      </c>
      <c r="AQ61" s="89">
        <v>2014</v>
      </c>
    </row>
    <row r="62" s="89" customFormat="1" ht="20.75" spans="1:43">
      <c r="A62" s="112">
        <v>5</v>
      </c>
      <c r="B62" s="112">
        <v>3</v>
      </c>
      <c r="C62" s="112">
        <v>1000000</v>
      </c>
      <c r="D62" s="112" t="s">
        <v>519</v>
      </c>
      <c r="E62" s="113"/>
      <c r="F62" s="114"/>
      <c r="G62" s="115"/>
      <c r="H62" s="115"/>
      <c r="I62" s="115"/>
      <c r="J62" s="115"/>
      <c r="K62" s="115"/>
      <c r="L62" s="115"/>
      <c r="M62" s="115"/>
      <c r="N62" s="115"/>
      <c r="O62" s="115"/>
      <c r="P62" s="115"/>
      <c r="Q62" s="115"/>
      <c r="R62" s="115"/>
      <c r="S62" s="115"/>
      <c r="T62" s="115">
        <v>0.1</v>
      </c>
      <c r="U62" s="115">
        <v>0.2</v>
      </c>
      <c r="V62" s="115"/>
      <c r="W62" s="115">
        <v>0.2</v>
      </c>
      <c r="X62" s="115"/>
      <c r="Y62" s="115"/>
      <c r="Z62" s="115"/>
      <c r="AA62" s="115"/>
      <c r="AB62" s="115"/>
      <c r="AC62" s="115"/>
      <c r="AD62" s="115"/>
      <c r="AE62" s="115"/>
      <c r="AF62" s="115"/>
      <c r="AG62" s="115"/>
      <c r="AH62" s="115"/>
      <c r="AI62" s="115"/>
      <c r="AJ62" s="115"/>
      <c r="AK62" s="115"/>
      <c r="AL62" s="115"/>
      <c r="AM62" s="115"/>
      <c r="AN62" s="115"/>
      <c r="AO62" s="137"/>
      <c r="AP62" s="138">
        <v>1000000</v>
      </c>
      <c r="AQ62" s="89">
        <v>2014</v>
      </c>
    </row>
    <row r="63" s="89" customFormat="1" ht="30.75" spans="1:43">
      <c r="A63" s="112">
        <v>6</v>
      </c>
      <c r="B63" s="112">
        <v>3</v>
      </c>
      <c r="C63" s="112">
        <v>1000000</v>
      </c>
      <c r="D63" s="112" t="s">
        <v>520</v>
      </c>
      <c r="E63" s="113"/>
      <c r="F63" s="114"/>
      <c r="G63" s="115"/>
      <c r="H63" s="115"/>
      <c r="I63" s="115"/>
      <c r="J63" s="115"/>
      <c r="K63" s="115"/>
      <c r="L63" s="115"/>
      <c r="M63" s="115"/>
      <c r="N63" s="115"/>
      <c r="O63" s="115"/>
      <c r="P63" s="115"/>
      <c r="Q63" s="115"/>
      <c r="R63" s="115"/>
      <c r="S63" s="115"/>
      <c r="T63" s="115"/>
      <c r="U63" s="115"/>
      <c r="V63" s="115"/>
      <c r="W63" s="115"/>
      <c r="X63" s="115"/>
      <c r="Y63" s="115"/>
      <c r="Z63" s="115">
        <v>0.1</v>
      </c>
      <c r="AA63" s="115"/>
      <c r="AB63" s="115">
        <v>0.3</v>
      </c>
      <c r="AC63" s="115">
        <v>0.2</v>
      </c>
      <c r="AD63" s="115"/>
      <c r="AE63" s="115"/>
      <c r="AF63" s="115"/>
      <c r="AG63" s="115"/>
      <c r="AH63" s="115"/>
      <c r="AI63" s="115"/>
      <c r="AJ63" s="115"/>
      <c r="AK63" s="115"/>
      <c r="AL63" s="115"/>
      <c r="AM63" s="115"/>
      <c r="AN63" s="115"/>
      <c r="AO63" s="137"/>
      <c r="AP63" s="138">
        <v>1000000</v>
      </c>
      <c r="AQ63" s="89">
        <v>2014</v>
      </c>
    </row>
    <row r="64" s="89" customFormat="1" ht="30.75" spans="1:43">
      <c r="A64" s="112">
        <v>7</v>
      </c>
      <c r="B64" s="112">
        <v>3</v>
      </c>
      <c r="C64" s="112">
        <v>1000000</v>
      </c>
      <c r="D64" s="112" t="s">
        <v>521</v>
      </c>
      <c r="E64" s="113"/>
      <c r="F64" s="114"/>
      <c r="G64" s="115"/>
      <c r="H64" s="115"/>
      <c r="I64" s="115"/>
      <c r="J64" s="115"/>
      <c r="K64" s="115"/>
      <c r="L64" s="115"/>
      <c r="M64" s="115"/>
      <c r="N64" s="115"/>
      <c r="O64" s="115"/>
      <c r="P64" s="115"/>
      <c r="Q64" s="115"/>
      <c r="R64" s="115"/>
      <c r="S64" s="115"/>
      <c r="T64" s="115"/>
      <c r="U64" s="115"/>
      <c r="V64" s="115"/>
      <c r="W64" s="115"/>
      <c r="X64" s="115">
        <v>0.3</v>
      </c>
      <c r="Y64" s="115"/>
      <c r="Z64" s="115"/>
      <c r="AA64" s="115"/>
      <c r="AB64" s="115"/>
      <c r="AC64" s="115"/>
      <c r="AD64" s="115"/>
      <c r="AE64" s="115"/>
      <c r="AF64" s="115"/>
      <c r="AG64" s="115"/>
      <c r="AH64" s="115"/>
      <c r="AI64" s="115">
        <v>0.2</v>
      </c>
      <c r="AJ64" s="115"/>
      <c r="AK64" s="115"/>
      <c r="AL64" s="115"/>
      <c r="AM64" s="115"/>
      <c r="AN64" s="115">
        <v>0.2</v>
      </c>
      <c r="AO64" s="137"/>
      <c r="AP64" s="138">
        <v>1000000</v>
      </c>
      <c r="AQ64" s="89">
        <v>2014</v>
      </c>
    </row>
    <row r="65" s="89" customFormat="1" ht="30.75" spans="1:43">
      <c r="A65" s="112">
        <v>8</v>
      </c>
      <c r="B65" s="112">
        <v>2</v>
      </c>
      <c r="C65" s="112">
        <v>1000000</v>
      </c>
      <c r="D65" s="112" t="s">
        <v>522</v>
      </c>
      <c r="E65" s="113"/>
      <c r="F65" s="114"/>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v>0.2</v>
      </c>
      <c r="AD65" s="115">
        <v>0.1</v>
      </c>
      <c r="AE65" s="115"/>
      <c r="AF65" s="115"/>
      <c r="AG65" s="115"/>
      <c r="AH65" s="115"/>
      <c r="AI65" s="115"/>
      <c r="AJ65" s="115"/>
      <c r="AK65" s="115"/>
      <c r="AL65" s="115"/>
      <c r="AM65" s="115"/>
      <c r="AN65" s="115"/>
      <c r="AO65" s="137">
        <v>0.4</v>
      </c>
      <c r="AP65" s="138">
        <v>1000000</v>
      </c>
      <c r="AQ65" s="89">
        <v>2014</v>
      </c>
    </row>
    <row r="66" s="89" customFormat="1" ht="20.75" spans="1:43">
      <c r="A66" s="112">
        <v>9</v>
      </c>
      <c r="B66" s="112">
        <v>2</v>
      </c>
      <c r="C66" s="112">
        <v>1000000</v>
      </c>
      <c r="D66" s="112" t="s">
        <v>523</v>
      </c>
      <c r="E66" s="113"/>
      <c r="F66" s="114"/>
      <c r="G66" s="115"/>
      <c r="H66" s="115"/>
      <c r="I66" s="115"/>
      <c r="J66" s="115"/>
      <c r="K66" s="115"/>
      <c r="L66" s="115"/>
      <c r="M66" s="115"/>
      <c r="N66" s="115"/>
      <c r="O66" s="115"/>
      <c r="P66" s="115"/>
      <c r="Q66" s="115"/>
      <c r="R66" s="115"/>
      <c r="S66" s="115"/>
      <c r="T66" s="115"/>
      <c r="U66" s="115"/>
      <c r="V66" s="115"/>
      <c r="W66" s="115"/>
      <c r="X66" s="115"/>
      <c r="Y66" s="115"/>
      <c r="Z66" s="115"/>
      <c r="AA66" s="115"/>
      <c r="AB66" s="115">
        <v>0.2</v>
      </c>
      <c r="AC66" s="115"/>
      <c r="AD66" s="115"/>
      <c r="AE66" s="115"/>
      <c r="AF66" s="115"/>
      <c r="AG66" s="115"/>
      <c r="AH66" s="115"/>
      <c r="AI66" s="115"/>
      <c r="AJ66" s="115"/>
      <c r="AK66" s="115"/>
      <c r="AL66" s="115"/>
      <c r="AM66" s="115"/>
      <c r="AN66" s="115"/>
      <c r="AO66" s="137">
        <v>0.1</v>
      </c>
      <c r="AP66" s="138">
        <v>1000000</v>
      </c>
      <c r="AQ66" s="89">
        <v>2014</v>
      </c>
    </row>
    <row r="67" s="89" customFormat="1" ht="20.75" spans="1:43">
      <c r="A67" s="112">
        <v>10</v>
      </c>
      <c r="B67" s="112">
        <v>3</v>
      </c>
      <c r="C67" s="112">
        <v>1000000</v>
      </c>
      <c r="D67" s="112" t="s">
        <v>524</v>
      </c>
      <c r="E67" s="113"/>
      <c r="F67" s="114"/>
      <c r="G67" s="115"/>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v>0.4</v>
      </c>
      <c r="AI67" s="115">
        <v>0.2</v>
      </c>
      <c r="AJ67" s="115">
        <v>0.2</v>
      </c>
      <c r="AK67" s="115"/>
      <c r="AL67" s="115"/>
      <c r="AM67" s="115"/>
      <c r="AN67" s="115"/>
      <c r="AO67" s="137"/>
      <c r="AP67" s="138">
        <v>1000000</v>
      </c>
      <c r="AQ67" s="89">
        <v>2014</v>
      </c>
    </row>
    <row r="68" s="89" customFormat="1" ht="20.75" spans="1:43">
      <c r="A68" s="112">
        <v>11</v>
      </c>
      <c r="B68" s="112">
        <v>1</v>
      </c>
      <c r="C68" s="112">
        <v>1000000</v>
      </c>
      <c r="D68" s="112" t="s">
        <v>525</v>
      </c>
      <c r="E68" s="113"/>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5">
        <v>0.2</v>
      </c>
      <c r="AE68" s="115"/>
      <c r="AF68" s="115"/>
      <c r="AG68" s="115"/>
      <c r="AH68" s="115"/>
      <c r="AI68" s="115"/>
      <c r="AJ68" s="115"/>
      <c r="AK68" s="115"/>
      <c r="AL68" s="115"/>
      <c r="AM68" s="115"/>
      <c r="AN68" s="115">
        <v>0.2</v>
      </c>
      <c r="AO68" s="137">
        <v>0.2</v>
      </c>
      <c r="AP68" s="138">
        <v>1000000</v>
      </c>
      <c r="AQ68" s="89">
        <v>2014</v>
      </c>
    </row>
    <row r="69" s="89" customFormat="1" ht="20.75" spans="1:43">
      <c r="A69" s="112">
        <v>12</v>
      </c>
      <c r="B69" s="112">
        <v>4</v>
      </c>
      <c r="C69" s="112">
        <v>1000000</v>
      </c>
      <c r="D69" s="112" t="s">
        <v>526</v>
      </c>
      <c r="E69" s="113"/>
      <c r="F69" s="114"/>
      <c r="G69" s="115"/>
      <c r="H69" s="115"/>
      <c r="I69" s="115"/>
      <c r="J69" s="115"/>
      <c r="K69" s="115"/>
      <c r="L69" s="115"/>
      <c r="M69" s="115"/>
      <c r="N69" s="115"/>
      <c r="O69" s="115">
        <v>0.2</v>
      </c>
      <c r="P69" s="115"/>
      <c r="Q69" s="115"/>
      <c r="R69" s="115"/>
      <c r="S69" s="115"/>
      <c r="T69" s="115"/>
      <c r="U69" s="115"/>
      <c r="V69" s="115"/>
      <c r="W69" s="115"/>
      <c r="X69" s="115"/>
      <c r="Y69" s="115"/>
      <c r="Z69" s="115"/>
      <c r="AA69" s="115"/>
      <c r="AB69" s="115"/>
      <c r="AC69" s="115"/>
      <c r="AD69" s="115"/>
      <c r="AE69" s="115">
        <v>0.3</v>
      </c>
      <c r="AF69" s="115"/>
      <c r="AG69" s="115"/>
      <c r="AH69" s="115"/>
      <c r="AI69" s="115"/>
      <c r="AJ69" s="115"/>
      <c r="AK69" s="115"/>
      <c r="AL69" s="115"/>
      <c r="AM69" s="115"/>
      <c r="AN69" s="115"/>
      <c r="AO69" s="137">
        <v>0.2</v>
      </c>
      <c r="AP69" s="138">
        <v>1000000</v>
      </c>
      <c r="AQ69" s="89">
        <v>2014</v>
      </c>
    </row>
    <row r="70" s="89" customFormat="1" ht="30.75" spans="1:43">
      <c r="A70" s="112">
        <v>13</v>
      </c>
      <c r="B70" s="112">
        <v>3</v>
      </c>
      <c r="C70" s="112">
        <v>1000000</v>
      </c>
      <c r="D70" s="112" t="s">
        <v>527</v>
      </c>
      <c r="E70" s="113"/>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v>0.1</v>
      </c>
      <c r="AE70" s="115"/>
      <c r="AF70" s="115"/>
      <c r="AG70" s="115"/>
      <c r="AH70" s="115"/>
      <c r="AI70" s="115">
        <v>0.2</v>
      </c>
      <c r="AJ70" s="115"/>
      <c r="AK70" s="115"/>
      <c r="AL70" s="115"/>
      <c r="AM70" s="115"/>
      <c r="AN70" s="115">
        <v>0.2</v>
      </c>
      <c r="AO70" s="137">
        <v>0.1</v>
      </c>
      <c r="AP70" s="138">
        <v>1000000</v>
      </c>
      <c r="AQ70" s="89">
        <v>2014</v>
      </c>
    </row>
    <row r="71" s="89" customFormat="1" ht="20.75" spans="1:43">
      <c r="A71" s="112">
        <v>14</v>
      </c>
      <c r="B71" s="112">
        <v>2</v>
      </c>
      <c r="C71" s="112">
        <v>1000000</v>
      </c>
      <c r="D71" s="112" t="s">
        <v>528</v>
      </c>
      <c r="E71" s="113"/>
      <c r="F71" s="114"/>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v>0.2</v>
      </c>
      <c r="AJ71" s="115">
        <v>0.3</v>
      </c>
      <c r="AK71" s="115"/>
      <c r="AL71" s="115"/>
      <c r="AM71" s="115"/>
      <c r="AN71" s="115">
        <v>0.1</v>
      </c>
      <c r="AO71" s="137"/>
      <c r="AP71" s="138">
        <v>1000000</v>
      </c>
      <c r="AQ71" s="89">
        <v>2014</v>
      </c>
    </row>
    <row r="72" s="90" customFormat="1" ht="30.75" spans="1:44">
      <c r="A72" s="139">
        <v>15</v>
      </c>
      <c r="B72" s="140">
        <v>4</v>
      </c>
      <c r="C72" s="141">
        <v>1101450</v>
      </c>
      <c r="D72" s="142" t="s">
        <v>529</v>
      </c>
      <c r="E72" s="143">
        <v>0.2</v>
      </c>
      <c r="F72" s="143">
        <v>0.1</v>
      </c>
      <c r="G72" s="143"/>
      <c r="H72" s="143">
        <v>0.1</v>
      </c>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3"/>
      <c r="AM72" s="143"/>
      <c r="AN72" s="143"/>
      <c r="AO72" s="206"/>
      <c r="AP72" s="90">
        <f>C72</f>
        <v>1101450</v>
      </c>
      <c r="AR72" s="90">
        <f>SUM(E72:AO72)</f>
        <v>0.4</v>
      </c>
    </row>
    <row r="73" s="89" customFormat="1" ht="20.75" spans="1:44">
      <c r="A73" s="112">
        <v>16</v>
      </c>
      <c r="B73" s="144">
        <v>3</v>
      </c>
      <c r="C73" s="112">
        <v>5204210</v>
      </c>
      <c r="D73" s="145" t="s">
        <v>530</v>
      </c>
      <c r="E73" s="146"/>
      <c r="F73" s="146"/>
      <c r="G73" s="146"/>
      <c r="H73" s="146"/>
      <c r="I73" s="146"/>
      <c r="J73" s="146"/>
      <c r="K73" s="146">
        <v>0.2</v>
      </c>
      <c r="L73" s="146"/>
      <c r="M73" s="146"/>
      <c r="N73" s="146"/>
      <c r="O73" s="146">
        <v>0.2</v>
      </c>
      <c r="P73" s="146"/>
      <c r="Q73" s="146"/>
      <c r="R73" s="146"/>
      <c r="S73" s="146"/>
      <c r="T73" s="146"/>
      <c r="U73" s="146"/>
      <c r="V73" s="146"/>
      <c r="W73" s="146"/>
      <c r="X73" s="146"/>
      <c r="Y73" s="146"/>
      <c r="Z73" s="146"/>
      <c r="AA73" s="146"/>
      <c r="AB73" s="146"/>
      <c r="AC73" s="146">
        <v>0.4</v>
      </c>
      <c r="AD73" s="146"/>
      <c r="AE73" s="146"/>
      <c r="AF73" s="146"/>
      <c r="AG73" s="146"/>
      <c r="AH73" s="146"/>
      <c r="AI73" s="146"/>
      <c r="AJ73" s="146"/>
      <c r="AK73" s="146"/>
      <c r="AL73" s="146"/>
      <c r="AM73" s="146"/>
      <c r="AN73" s="146"/>
      <c r="AO73" s="146"/>
      <c r="AP73" s="90">
        <f t="shared" ref="AP73:AP116" si="0">C73</f>
        <v>5204210</v>
      </c>
      <c r="AR73" s="90">
        <f t="shared" ref="AR73:AR117" si="1">SUM(E73:AO73)</f>
        <v>0.8</v>
      </c>
    </row>
    <row r="74" s="90" customFormat="1" ht="30.75" spans="1:44">
      <c r="A74" s="139">
        <v>17</v>
      </c>
      <c r="B74" s="147">
        <v>4</v>
      </c>
      <c r="C74" s="139">
        <v>1101460</v>
      </c>
      <c r="D74" s="148" t="s">
        <v>531</v>
      </c>
      <c r="E74" s="149">
        <v>0.1</v>
      </c>
      <c r="G74" s="143">
        <v>0.2</v>
      </c>
      <c r="H74" s="143">
        <v>0.1</v>
      </c>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90">
        <f t="shared" si="0"/>
        <v>1101460</v>
      </c>
      <c r="AR74" s="90">
        <f t="shared" si="1"/>
        <v>0.4</v>
      </c>
    </row>
    <row r="75" s="89" customFormat="1" ht="30.75" spans="1:44">
      <c r="A75" s="112">
        <v>18</v>
      </c>
      <c r="B75" s="144">
        <v>2.5</v>
      </c>
      <c r="C75" s="112">
        <v>5204211</v>
      </c>
      <c r="D75" s="145" t="s">
        <v>532</v>
      </c>
      <c r="E75" s="115"/>
      <c r="F75" s="115"/>
      <c r="G75" s="115"/>
      <c r="H75" s="115"/>
      <c r="I75" s="115"/>
      <c r="J75" s="115"/>
      <c r="K75" s="115"/>
      <c r="L75" s="115"/>
      <c r="M75" s="115">
        <v>0.1</v>
      </c>
      <c r="N75" s="115"/>
      <c r="O75" s="115"/>
      <c r="P75" s="115"/>
      <c r="Q75" s="115"/>
      <c r="R75" s="115"/>
      <c r="S75" s="115"/>
      <c r="T75" s="115"/>
      <c r="U75" s="115"/>
      <c r="V75" s="115">
        <v>0.1</v>
      </c>
      <c r="W75" s="115"/>
      <c r="X75" s="115"/>
      <c r="Y75" s="115"/>
      <c r="Z75" s="115"/>
      <c r="AA75" s="115"/>
      <c r="AB75" s="115"/>
      <c r="AC75" s="115"/>
      <c r="AD75" s="115"/>
      <c r="AE75" s="115"/>
      <c r="AF75" s="115">
        <v>0.2</v>
      </c>
      <c r="AG75" s="115"/>
      <c r="AH75" s="115"/>
      <c r="AI75" s="115"/>
      <c r="AJ75" s="115"/>
      <c r="AK75" s="115"/>
      <c r="AL75" s="115"/>
      <c r="AM75" s="115"/>
      <c r="AN75" s="115"/>
      <c r="AO75" s="137"/>
      <c r="AP75" s="90">
        <f t="shared" si="0"/>
        <v>5204211</v>
      </c>
      <c r="AR75" s="90">
        <f t="shared" si="1"/>
        <v>0.4</v>
      </c>
    </row>
    <row r="76" s="89" customFormat="1" ht="20.75" spans="1:44">
      <c r="A76" s="112">
        <v>19</v>
      </c>
      <c r="B76" s="144">
        <v>3</v>
      </c>
      <c r="C76" s="112">
        <v>1409917</v>
      </c>
      <c r="D76" s="145" t="s">
        <v>533</v>
      </c>
      <c r="E76" s="115">
        <v>0.2</v>
      </c>
      <c r="F76" s="115"/>
      <c r="G76" s="115"/>
      <c r="H76" s="115"/>
      <c r="I76" s="115">
        <v>0.2</v>
      </c>
      <c r="J76" s="115">
        <v>0.2</v>
      </c>
      <c r="K76" s="115"/>
      <c r="L76" s="115"/>
      <c r="M76" s="115"/>
      <c r="N76" s="115"/>
      <c r="O76" s="115"/>
      <c r="P76" s="115"/>
      <c r="Q76" s="115"/>
      <c r="R76" s="115"/>
      <c r="S76" s="115"/>
      <c r="T76" s="115"/>
      <c r="U76" s="115"/>
      <c r="V76" s="115"/>
      <c r="W76" s="115">
        <v>0.1</v>
      </c>
      <c r="X76" s="115"/>
      <c r="Y76" s="115"/>
      <c r="Z76" s="115"/>
      <c r="AA76" s="115"/>
      <c r="AB76" s="115"/>
      <c r="AC76" s="115"/>
      <c r="AD76" s="115"/>
      <c r="AE76" s="115"/>
      <c r="AF76" s="115"/>
      <c r="AG76" s="115"/>
      <c r="AH76" s="115"/>
      <c r="AI76" s="115"/>
      <c r="AJ76" s="115"/>
      <c r="AK76" s="115"/>
      <c r="AL76" s="115"/>
      <c r="AM76" s="115"/>
      <c r="AN76" s="115"/>
      <c r="AO76" s="137"/>
      <c r="AP76" s="90">
        <f t="shared" si="0"/>
        <v>1409917</v>
      </c>
      <c r="AR76" s="90">
        <f t="shared" si="1"/>
        <v>0.7</v>
      </c>
    </row>
    <row r="77" s="89" customFormat="1" ht="20.75" spans="1:44">
      <c r="A77" s="112">
        <v>20</v>
      </c>
      <c r="B77" s="144">
        <v>3</v>
      </c>
      <c r="C77" s="112">
        <v>1102129</v>
      </c>
      <c r="D77" s="145" t="s">
        <v>534</v>
      </c>
      <c r="E77" s="115"/>
      <c r="F77" s="115">
        <v>0.2</v>
      </c>
      <c r="G77" s="115"/>
      <c r="H77" s="115">
        <v>0.3</v>
      </c>
      <c r="I77" s="115"/>
      <c r="J77" s="115">
        <v>0.2</v>
      </c>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37"/>
      <c r="AP77" s="90">
        <f t="shared" si="0"/>
        <v>1102129</v>
      </c>
      <c r="AR77" s="90">
        <f t="shared" si="1"/>
        <v>0.7</v>
      </c>
    </row>
    <row r="78" s="89" customFormat="1" ht="30.75" spans="1:44">
      <c r="A78" s="112">
        <v>21</v>
      </c>
      <c r="B78" s="144">
        <v>2</v>
      </c>
      <c r="C78" s="112">
        <v>5208301</v>
      </c>
      <c r="D78" s="145" t="s">
        <v>535</v>
      </c>
      <c r="E78" s="115"/>
      <c r="F78" s="115"/>
      <c r="G78" s="115"/>
      <c r="H78" s="115"/>
      <c r="I78" s="115">
        <v>0.2</v>
      </c>
      <c r="J78" s="115"/>
      <c r="K78" s="115"/>
      <c r="L78" s="115">
        <v>0.1</v>
      </c>
      <c r="M78" s="115"/>
      <c r="N78" s="115"/>
      <c r="O78" s="115"/>
      <c r="P78" s="115"/>
      <c r="Q78" s="115">
        <v>0.2</v>
      </c>
      <c r="R78" s="115"/>
      <c r="S78" s="115"/>
      <c r="T78" s="115"/>
      <c r="U78" s="115"/>
      <c r="V78" s="115"/>
      <c r="W78" s="115"/>
      <c r="X78" s="115"/>
      <c r="Y78" s="115"/>
      <c r="Z78" s="202">
        <v>0.2</v>
      </c>
      <c r="AA78" s="115"/>
      <c r="AB78" s="115"/>
      <c r="AC78" s="115"/>
      <c r="AD78" s="115"/>
      <c r="AE78" s="115"/>
      <c r="AF78" s="115"/>
      <c r="AG78" s="115"/>
      <c r="AH78" s="115"/>
      <c r="AI78" s="115"/>
      <c r="AJ78" s="115"/>
      <c r="AK78" s="115"/>
      <c r="AL78" s="115"/>
      <c r="AM78" s="115"/>
      <c r="AN78" s="115"/>
      <c r="AO78" s="137"/>
      <c r="AP78" s="90">
        <f t="shared" si="0"/>
        <v>5208301</v>
      </c>
      <c r="AR78" s="90">
        <f t="shared" si="1"/>
        <v>0.7</v>
      </c>
    </row>
    <row r="79" s="89" customFormat="1" ht="20.75" spans="1:44">
      <c r="A79" s="112">
        <v>22</v>
      </c>
      <c r="B79" s="144">
        <v>3</v>
      </c>
      <c r="C79" s="112">
        <v>1108104</v>
      </c>
      <c r="D79" s="145" t="s">
        <v>536</v>
      </c>
      <c r="E79" s="115"/>
      <c r="F79" s="115">
        <v>0.2</v>
      </c>
      <c r="G79" s="115">
        <v>0.3</v>
      </c>
      <c r="H79" s="115"/>
      <c r="I79" s="115">
        <v>0.1</v>
      </c>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5"/>
      <c r="AN79" s="115"/>
      <c r="AO79" s="137"/>
      <c r="AP79" s="90">
        <f t="shared" si="0"/>
        <v>1108104</v>
      </c>
      <c r="AR79" s="90">
        <f t="shared" si="1"/>
        <v>0.6</v>
      </c>
    </row>
    <row r="80" s="89" customFormat="1" ht="20.75" spans="1:44">
      <c r="A80" s="112">
        <v>23</v>
      </c>
      <c r="B80" s="144">
        <v>3</v>
      </c>
      <c r="C80" s="112">
        <v>5208070</v>
      </c>
      <c r="D80" s="145" t="s">
        <v>537</v>
      </c>
      <c r="E80" s="115"/>
      <c r="F80" s="115"/>
      <c r="G80" s="115"/>
      <c r="H80" s="115"/>
      <c r="I80" s="115"/>
      <c r="J80" s="115">
        <v>0.2</v>
      </c>
      <c r="K80" s="115"/>
      <c r="L80" s="115"/>
      <c r="M80" s="115"/>
      <c r="N80" s="115"/>
      <c r="O80" s="115"/>
      <c r="P80" s="115"/>
      <c r="Q80" s="115"/>
      <c r="R80" s="115"/>
      <c r="S80" s="115"/>
      <c r="T80" s="115"/>
      <c r="U80" s="115"/>
      <c r="V80" s="115">
        <v>0.2</v>
      </c>
      <c r="W80" s="149">
        <v>0.1</v>
      </c>
      <c r="X80" s="115"/>
      <c r="Y80" s="115"/>
      <c r="Z80" s="115"/>
      <c r="AA80" s="115"/>
      <c r="AB80" s="115"/>
      <c r="AC80" s="115"/>
      <c r="AD80" s="115"/>
      <c r="AE80" s="115"/>
      <c r="AF80" s="115"/>
      <c r="AG80" s="115"/>
      <c r="AH80" s="115"/>
      <c r="AI80" s="115"/>
      <c r="AJ80" s="115"/>
      <c r="AK80" s="115"/>
      <c r="AL80" s="115"/>
      <c r="AM80" s="115"/>
      <c r="AN80" s="115"/>
      <c r="AO80" s="137"/>
      <c r="AP80" s="90">
        <f t="shared" si="0"/>
        <v>5208070</v>
      </c>
      <c r="AR80" s="90">
        <f t="shared" si="1"/>
        <v>0.5</v>
      </c>
    </row>
    <row r="81" s="91" customFormat="1" ht="20.75" spans="1:44">
      <c r="A81" s="150">
        <v>24</v>
      </c>
      <c r="B81" s="151">
        <v>2</v>
      </c>
      <c r="C81" s="150">
        <v>1106401</v>
      </c>
      <c r="D81" s="152" t="s">
        <v>538</v>
      </c>
      <c r="E81" s="153">
        <v>0.2</v>
      </c>
      <c r="F81" s="153"/>
      <c r="G81" s="153"/>
      <c r="H81" s="153">
        <v>0.2</v>
      </c>
      <c r="I81" s="153"/>
      <c r="J81" s="153"/>
      <c r="K81" s="153">
        <v>0.3</v>
      </c>
      <c r="L81" s="153">
        <v>0.1</v>
      </c>
      <c r="M81" s="153"/>
      <c r="N81" s="153"/>
      <c r="O81" s="153"/>
      <c r="P81" s="153"/>
      <c r="Q81" s="153"/>
      <c r="R81" s="153"/>
      <c r="S81" s="153"/>
      <c r="T81" s="153"/>
      <c r="U81" s="153"/>
      <c r="V81" s="153"/>
      <c r="W81" s="153"/>
      <c r="X81" s="153"/>
      <c r="Y81" s="153"/>
      <c r="Z81" s="153"/>
      <c r="AA81" s="153"/>
      <c r="AB81" s="153"/>
      <c r="AC81" s="153"/>
      <c r="AD81" s="153"/>
      <c r="AE81" s="153"/>
      <c r="AF81" s="153"/>
      <c r="AG81" s="153"/>
      <c r="AH81" s="153"/>
      <c r="AI81" s="153"/>
      <c r="AJ81" s="153"/>
      <c r="AK81" s="153"/>
      <c r="AL81" s="153"/>
      <c r="AM81" s="153"/>
      <c r="AN81" s="153"/>
      <c r="AO81" s="207"/>
      <c r="AP81" s="30">
        <f t="shared" si="0"/>
        <v>1106401</v>
      </c>
      <c r="AR81" s="30">
        <f t="shared" si="1"/>
        <v>0.8</v>
      </c>
    </row>
    <row r="82" s="89" customFormat="1" ht="20.75" spans="1:44">
      <c r="A82" s="112">
        <v>25</v>
      </c>
      <c r="B82" s="144">
        <v>2</v>
      </c>
      <c r="C82" s="112">
        <v>5208002</v>
      </c>
      <c r="D82" s="145" t="s">
        <v>539</v>
      </c>
      <c r="E82" s="115"/>
      <c r="F82" s="115"/>
      <c r="G82" s="115"/>
      <c r="H82" s="115"/>
      <c r="I82" s="115"/>
      <c r="J82" s="115"/>
      <c r="K82" s="115"/>
      <c r="L82" s="115"/>
      <c r="M82" s="115"/>
      <c r="N82" s="115"/>
      <c r="O82" s="115">
        <v>0.2</v>
      </c>
      <c r="P82" s="115"/>
      <c r="Q82" s="115"/>
      <c r="R82" s="115"/>
      <c r="S82" s="115"/>
      <c r="T82" s="115"/>
      <c r="U82" s="115"/>
      <c r="V82" s="115"/>
      <c r="W82" s="115">
        <v>0.1</v>
      </c>
      <c r="X82" s="115"/>
      <c r="Y82" s="115"/>
      <c r="Z82" s="115"/>
      <c r="AA82" s="115"/>
      <c r="AB82" s="115"/>
      <c r="AC82" s="115"/>
      <c r="AD82" s="115"/>
      <c r="AE82" s="115"/>
      <c r="AF82" s="115"/>
      <c r="AG82" s="115">
        <v>0.2</v>
      </c>
      <c r="AH82" s="115"/>
      <c r="AI82" s="115"/>
      <c r="AJ82" s="115"/>
      <c r="AK82" s="115"/>
      <c r="AL82" s="115"/>
      <c r="AM82" s="115"/>
      <c r="AN82" s="115"/>
      <c r="AO82" s="137"/>
      <c r="AP82" s="90">
        <f t="shared" si="0"/>
        <v>5208002</v>
      </c>
      <c r="AR82" s="90">
        <f t="shared" si="1"/>
        <v>0.5</v>
      </c>
    </row>
    <row r="83" s="30" customFormat="1" ht="20.75" spans="1:44">
      <c r="A83" s="154">
        <v>26</v>
      </c>
      <c r="B83" s="155">
        <v>2</v>
      </c>
      <c r="C83" s="156">
        <v>9109916</v>
      </c>
      <c r="D83" s="157" t="s">
        <v>540</v>
      </c>
      <c r="E83" s="158"/>
      <c r="F83" s="158">
        <v>0.1</v>
      </c>
      <c r="G83" s="158">
        <v>0.2</v>
      </c>
      <c r="H83" s="158">
        <v>0.1</v>
      </c>
      <c r="I83" s="158"/>
      <c r="J83" s="158"/>
      <c r="K83" s="158"/>
      <c r="L83" s="158">
        <v>0.2</v>
      </c>
      <c r="M83" s="158"/>
      <c r="N83" s="158"/>
      <c r="O83" s="158"/>
      <c r="P83" s="158"/>
      <c r="Q83" s="158"/>
      <c r="R83" s="158"/>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30">
        <f t="shared" si="0"/>
        <v>9109916</v>
      </c>
      <c r="AR83" s="30">
        <f t="shared" si="1"/>
        <v>0.6</v>
      </c>
    </row>
    <row r="84" s="90" customFormat="1" ht="20.75" spans="1:44">
      <c r="A84" s="139">
        <v>27</v>
      </c>
      <c r="B84" s="147">
        <v>3.5</v>
      </c>
      <c r="C84" s="139">
        <v>5208029</v>
      </c>
      <c r="D84" s="148" t="s">
        <v>541</v>
      </c>
      <c r="E84" s="149"/>
      <c r="F84" s="149"/>
      <c r="G84" s="149"/>
      <c r="H84" s="149"/>
      <c r="I84" s="149"/>
      <c r="J84" s="149"/>
      <c r="K84" s="149"/>
      <c r="L84" s="149"/>
      <c r="M84" s="149">
        <v>0.1</v>
      </c>
      <c r="N84" s="149">
        <v>0.2</v>
      </c>
      <c r="O84" s="149"/>
      <c r="P84" s="149"/>
      <c r="Q84" s="149"/>
      <c r="R84" s="149"/>
      <c r="S84" s="149"/>
      <c r="T84" s="149"/>
      <c r="U84" s="149">
        <v>0.2</v>
      </c>
      <c r="V84" s="149"/>
      <c r="W84" s="149"/>
      <c r="X84" s="149"/>
      <c r="Y84" s="149"/>
      <c r="Z84" s="149"/>
      <c r="AA84" s="149"/>
      <c r="AB84" s="149"/>
      <c r="AC84" s="149"/>
      <c r="AD84" s="149"/>
      <c r="AE84" s="149"/>
      <c r="AF84" s="149"/>
      <c r="AG84" s="149"/>
      <c r="AH84" s="149"/>
      <c r="AI84" s="149"/>
      <c r="AJ84" s="149"/>
      <c r="AK84" s="149"/>
      <c r="AL84" s="149"/>
      <c r="AM84" s="149"/>
      <c r="AN84" s="149"/>
      <c r="AO84" s="149"/>
      <c r="AP84" s="90">
        <f t="shared" si="0"/>
        <v>5208029</v>
      </c>
      <c r="AR84" s="90">
        <f t="shared" si="1"/>
        <v>0.5</v>
      </c>
    </row>
    <row r="85" s="89" customFormat="1" ht="20.75" spans="1:44">
      <c r="A85" s="112">
        <v>28</v>
      </c>
      <c r="B85" s="144">
        <v>3</v>
      </c>
      <c r="C85" s="112">
        <v>5208072</v>
      </c>
      <c r="D85" s="145" t="s">
        <v>542</v>
      </c>
      <c r="E85" s="146"/>
      <c r="F85" s="146"/>
      <c r="G85" s="146"/>
      <c r="H85" s="146"/>
      <c r="I85" s="146"/>
      <c r="J85" s="146"/>
      <c r="K85" s="146">
        <v>0.1</v>
      </c>
      <c r="L85" s="146"/>
      <c r="M85" s="146"/>
      <c r="N85" s="146"/>
      <c r="O85" s="146"/>
      <c r="P85" s="146"/>
      <c r="Q85" s="146"/>
      <c r="R85" s="146"/>
      <c r="S85" s="146"/>
      <c r="T85" s="146"/>
      <c r="U85" s="146">
        <v>0.2</v>
      </c>
      <c r="V85" s="146"/>
      <c r="W85" s="146"/>
      <c r="X85" s="146">
        <v>0.2</v>
      </c>
      <c r="Y85" s="146"/>
      <c r="Z85" s="146"/>
      <c r="AA85" s="146"/>
      <c r="AB85" s="146"/>
      <c r="AC85" s="146"/>
      <c r="AD85" s="146"/>
      <c r="AE85" s="146"/>
      <c r="AF85" s="146"/>
      <c r="AG85" s="146"/>
      <c r="AH85" s="146"/>
      <c r="AI85" s="146"/>
      <c r="AJ85" s="146"/>
      <c r="AK85" s="146"/>
      <c r="AL85" s="146"/>
      <c r="AM85" s="146"/>
      <c r="AN85" s="146"/>
      <c r="AO85" s="146"/>
      <c r="AP85" s="90">
        <f t="shared" si="0"/>
        <v>5208072</v>
      </c>
      <c r="AR85" s="90">
        <f t="shared" si="1"/>
        <v>0.5</v>
      </c>
    </row>
    <row r="86" s="89" customFormat="1" ht="20.75" spans="1:44">
      <c r="A86" s="112">
        <v>29</v>
      </c>
      <c r="B86" s="144">
        <v>3</v>
      </c>
      <c r="C86" s="112">
        <v>5208007</v>
      </c>
      <c r="D86" s="145" t="s">
        <v>543</v>
      </c>
      <c r="E86" s="146"/>
      <c r="F86" s="146"/>
      <c r="G86" s="146"/>
      <c r="H86" s="146"/>
      <c r="I86" s="146"/>
      <c r="J86" s="146"/>
      <c r="K86" s="146"/>
      <c r="L86" s="146"/>
      <c r="M86" s="146"/>
      <c r="N86" s="146"/>
      <c r="O86" s="146"/>
      <c r="P86" s="146"/>
      <c r="Q86" s="146">
        <f>Q31</f>
        <v>0.2</v>
      </c>
      <c r="R86" s="146"/>
      <c r="S86" s="146"/>
      <c r="T86" s="146"/>
      <c r="U86" s="146"/>
      <c r="V86" s="146">
        <f>V31</f>
        <v>0.2</v>
      </c>
      <c r="W86" s="146"/>
      <c r="X86" s="146"/>
      <c r="Y86" s="146"/>
      <c r="Z86" s="146"/>
      <c r="AA86" s="146"/>
      <c r="AB86" s="146"/>
      <c r="AC86" s="146">
        <f>AC31</f>
        <v>0.1</v>
      </c>
      <c r="AD86" s="146"/>
      <c r="AE86" s="146"/>
      <c r="AF86" s="146"/>
      <c r="AG86" s="146"/>
      <c r="AH86" s="146"/>
      <c r="AI86" s="146"/>
      <c r="AJ86" s="146"/>
      <c r="AK86" s="146"/>
      <c r="AL86" s="146"/>
      <c r="AM86" s="146"/>
      <c r="AN86" s="146"/>
      <c r="AO86" s="146"/>
      <c r="AP86" s="90">
        <f t="shared" si="0"/>
        <v>5208007</v>
      </c>
      <c r="AR86" s="90">
        <f t="shared" si="1"/>
        <v>0.5</v>
      </c>
    </row>
    <row r="87" s="89" customFormat="1" ht="20.75" spans="1:44">
      <c r="A87" s="112">
        <v>30</v>
      </c>
      <c r="B87" s="144">
        <v>3</v>
      </c>
      <c r="C87" s="112">
        <v>5208025</v>
      </c>
      <c r="D87" s="145" t="s">
        <v>544</v>
      </c>
      <c r="E87" s="115"/>
      <c r="F87" s="115"/>
      <c r="G87" s="115"/>
      <c r="H87" s="115"/>
      <c r="I87" s="115"/>
      <c r="J87" s="115"/>
      <c r="K87" s="115"/>
      <c r="L87" s="115"/>
      <c r="M87" s="115"/>
      <c r="N87" s="115"/>
      <c r="O87" s="115"/>
      <c r="P87" s="115"/>
      <c r="Q87" s="115">
        <v>0.1</v>
      </c>
      <c r="R87" s="115"/>
      <c r="S87" s="115"/>
      <c r="T87" s="115"/>
      <c r="U87" s="115">
        <v>0.2</v>
      </c>
      <c r="V87" s="115"/>
      <c r="W87" s="115"/>
      <c r="X87" s="115">
        <v>0.2</v>
      </c>
      <c r="Y87" s="115"/>
      <c r="Z87" s="115"/>
      <c r="AA87" s="115"/>
      <c r="AB87" s="115"/>
      <c r="AC87" s="115"/>
      <c r="AD87" s="115"/>
      <c r="AE87" s="115"/>
      <c r="AF87" s="115"/>
      <c r="AG87" s="115"/>
      <c r="AH87" s="115"/>
      <c r="AI87" s="115"/>
      <c r="AJ87" s="115"/>
      <c r="AK87" s="115"/>
      <c r="AL87" s="115"/>
      <c r="AM87" s="115"/>
      <c r="AN87" s="115"/>
      <c r="AO87" s="137"/>
      <c r="AP87" s="90">
        <f t="shared" si="0"/>
        <v>5208025</v>
      </c>
      <c r="AR87" s="90">
        <f t="shared" si="1"/>
        <v>0.5</v>
      </c>
    </row>
    <row r="88" s="89" customFormat="1" ht="30.75" spans="1:44">
      <c r="A88" s="112">
        <v>31</v>
      </c>
      <c r="B88" s="159">
        <v>2</v>
      </c>
      <c r="C88" s="159">
        <v>5208313</v>
      </c>
      <c r="D88" s="160" t="s">
        <v>545</v>
      </c>
      <c r="E88" s="115"/>
      <c r="F88" s="115"/>
      <c r="G88" s="115"/>
      <c r="I88" s="115"/>
      <c r="J88" s="115"/>
      <c r="K88" s="115"/>
      <c r="L88" s="115"/>
      <c r="M88" s="115"/>
      <c r="N88" s="115"/>
      <c r="O88" s="115"/>
      <c r="P88" s="115"/>
      <c r="Q88" s="115">
        <v>0.2</v>
      </c>
      <c r="R88" s="115"/>
      <c r="S88" s="115"/>
      <c r="T88" s="115"/>
      <c r="U88" s="115"/>
      <c r="V88" s="115"/>
      <c r="W88" s="115"/>
      <c r="X88" s="115"/>
      <c r="Y88" s="115">
        <v>0.3</v>
      </c>
      <c r="Z88" s="115"/>
      <c r="AA88" s="115">
        <v>0.4</v>
      </c>
      <c r="AB88" s="115"/>
      <c r="AC88" s="115"/>
      <c r="AD88" s="115"/>
      <c r="AE88" s="115"/>
      <c r="AF88" s="115"/>
      <c r="AG88" s="115"/>
      <c r="AH88" s="115"/>
      <c r="AI88" s="115"/>
      <c r="AJ88" s="115"/>
      <c r="AK88" s="115"/>
      <c r="AL88" s="115"/>
      <c r="AM88" s="115"/>
      <c r="AN88" s="115"/>
      <c r="AO88" s="137"/>
      <c r="AP88" s="90">
        <f t="shared" si="0"/>
        <v>5208313</v>
      </c>
      <c r="AR88" s="90">
        <f t="shared" si="1"/>
        <v>0.9</v>
      </c>
    </row>
    <row r="89" s="89" customFormat="1" ht="20.75" spans="1:44">
      <c r="A89" s="112">
        <v>32</v>
      </c>
      <c r="B89" s="161">
        <v>2</v>
      </c>
      <c r="C89" s="161">
        <v>5208311</v>
      </c>
      <c r="D89" s="162" t="s">
        <v>546</v>
      </c>
      <c r="E89" s="163"/>
      <c r="F89" s="163">
        <v>0.1</v>
      </c>
      <c r="G89" s="163"/>
      <c r="H89" s="163"/>
      <c r="I89" s="163"/>
      <c r="J89" s="163"/>
      <c r="K89" s="163"/>
      <c r="L89" s="163">
        <v>0.3</v>
      </c>
      <c r="M89" s="163"/>
      <c r="N89" s="163"/>
      <c r="O89" s="163"/>
      <c r="P89" s="163"/>
      <c r="Q89" s="163"/>
      <c r="R89" s="163"/>
      <c r="S89" s="163"/>
      <c r="T89" s="163"/>
      <c r="U89" s="163"/>
      <c r="V89" s="163"/>
      <c r="W89" s="163">
        <v>0.2</v>
      </c>
      <c r="X89" s="163"/>
      <c r="Y89" s="163"/>
      <c r="Z89" s="163"/>
      <c r="AA89" s="163"/>
      <c r="AB89" s="163"/>
      <c r="AC89" s="163"/>
      <c r="AD89" s="163"/>
      <c r="AE89" s="163"/>
      <c r="AF89" s="163"/>
      <c r="AG89" s="163"/>
      <c r="AH89" s="163"/>
      <c r="AI89" s="163"/>
      <c r="AJ89" s="163"/>
      <c r="AK89" s="163">
        <v>0.1</v>
      </c>
      <c r="AL89" s="163"/>
      <c r="AM89" s="163"/>
      <c r="AN89" s="163"/>
      <c r="AO89" s="208"/>
      <c r="AP89" s="90">
        <f t="shared" si="0"/>
        <v>5208311</v>
      </c>
      <c r="AR89" s="90">
        <f t="shared" si="1"/>
        <v>0.7</v>
      </c>
    </row>
    <row r="90" s="92" customFormat="1" ht="20.75" spans="1:44">
      <c r="A90" s="164">
        <v>33</v>
      </c>
      <c r="B90" s="165">
        <v>2</v>
      </c>
      <c r="C90" s="165">
        <v>5104013</v>
      </c>
      <c r="D90" s="166" t="s">
        <v>547</v>
      </c>
      <c r="E90" s="167"/>
      <c r="F90" s="167"/>
      <c r="G90" s="167"/>
      <c r="H90" s="167"/>
      <c r="I90" s="167">
        <v>0.2</v>
      </c>
      <c r="J90" s="167"/>
      <c r="K90" s="167"/>
      <c r="L90" s="167"/>
      <c r="M90" s="167">
        <v>0.2</v>
      </c>
      <c r="N90" s="171">
        <v>0.3</v>
      </c>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167"/>
      <c r="AO90" s="209"/>
      <c r="AP90" s="93">
        <f t="shared" si="0"/>
        <v>5104013</v>
      </c>
      <c r="AR90" s="93">
        <f t="shared" si="1"/>
        <v>0.7</v>
      </c>
    </row>
    <row r="91" s="93" customFormat="1" ht="30.75" spans="1:44">
      <c r="A91" s="168">
        <v>34</v>
      </c>
      <c r="B91" s="169">
        <v>2</v>
      </c>
      <c r="C91" s="169">
        <v>5208315</v>
      </c>
      <c r="D91" s="170" t="s">
        <v>548</v>
      </c>
      <c r="E91" s="171"/>
      <c r="F91" s="171"/>
      <c r="G91" s="171"/>
      <c r="H91" s="167"/>
      <c r="I91" s="171"/>
      <c r="J91" s="171"/>
      <c r="K91" s="171">
        <v>0.1</v>
      </c>
      <c r="L91" s="171"/>
      <c r="M91" s="171"/>
      <c r="N91" s="171"/>
      <c r="O91" s="171"/>
      <c r="P91" s="171"/>
      <c r="Q91" s="171"/>
      <c r="R91" s="171">
        <v>0.2</v>
      </c>
      <c r="S91" s="167">
        <v>0.3</v>
      </c>
      <c r="T91" s="171"/>
      <c r="U91" s="171"/>
      <c r="V91" s="171"/>
      <c r="X91" s="171"/>
      <c r="Y91" s="171"/>
      <c r="Z91" s="171"/>
      <c r="AA91" s="171"/>
      <c r="AB91" s="171"/>
      <c r="AC91" s="171"/>
      <c r="AD91" s="171"/>
      <c r="AE91" s="171"/>
      <c r="AF91" s="171"/>
      <c r="AG91" s="171"/>
      <c r="AH91" s="171"/>
      <c r="AI91" s="171"/>
      <c r="AJ91" s="171"/>
      <c r="AK91" s="171"/>
      <c r="AL91" s="171"/>
      <c r="AM91" s="171"/>
      <c r="AN91" s="171"/>
      <c r="AO91" s="171"/>
      <c r="AP91" s="93">
        <f t="shared" si="0"/>
        <v>5208315</v>
      </c>
      <c r="AR91" s="93">
        <f t="shared" si="1"/>
        <v>0.6</v>
      </c>
    </row>
    <row r="92" s="89" customFormat="1" ht="30.75" spans="1:44">
      <c r="A92" s="112">
        <v>35</v>
      </c>
      <c r="B92" s="161">
        <v>2</v>
      </c>
      <c r="C92" s="161">
        <v>5208303</v>
      </c>
      <c r="D92" s="162" t="s">
        <v>549</v>
      </c>
      <c r="E92" s="115"/>
      <c r="F92" s="115"/>
      <c r="G92" s="115"/>
      <c r="H92" s="115"/>
      <c r="I92" s="115"/>
      <c r="J92" s="115"/>
      <c r="K92" s="115"/>
      <c r="L92" s="115">
        <v>0.3</v>
      </c>
      <c r="M92" s="115"/>
      <c r="N92" s="115"/>
      <c r="O92" s="115"/>
      <c r="P92" s="115"/>
      <c r="Q92" s="115"/>
      <c r="R92" s="115"/>
      <c r="S92" s="115"/>
      <c r="T92" s="115">
        <v>0.3</v>
      </c>
      <c r="U92" s="115"/>
      <c r="V92" s="115"/>
      <c r="X92" s="115"/>
      <c r="Y92" s="115">
        <v>0.3</v>
      </c>
      <c r="Z92" s="115"/>
      <c r="AA92" s="115"/>
      <c r="AB92" s="115"/>
      <c r="AC92" s="115"/>
      <c r="AD92" s="115"/>
      <c r="AE92" s="115"/>
      <c r="AF92" s="115"/>
      <c r="AG92" s="115"/>
      <c r="AH92" s="115"/>
      <c r="AI92" s="115"/>
      <c r="AJ92" s="115"/>
      <c r="AK92" s="115"/>
      <c r="AL92" s="115"/>
      <c r="AM92" s="115"/>
      <c r="AN92" s="115"/>
      <c r="AO92" s="137"/>
      <c r="AP92" s="90">
        <f t="shared" si="0"/>
        <v>5208303</v>
      </c>
      <c r="AR92" s="90">
        <f t="shared" si="1"/>
        <v>0.9</v>
      </c>
    </row>
    <row r="93" s="93" customFormat="1" ht="30.75" spans="1:44">
      <c r="A93" s="172">
        <v>36</v>
      </c>
      <c r="B93" s="173">
        <v>2</v>
      </c>
      <c r="C93" s="173">
        <v>5208094</v>
      </c>
      <c r="D93" s="174" t="s">
        <v>550</v>
      </c>
      <c r="E93" s="171"/>
      <c r="F93" s="171"/>
      <c r="G93" s="171"/>
      <c r="H93" s="171"/>
      <c r="I93" s="171"/>
      <c r="J93" s="171">
        <v>0.1</v>
      </c>
      <c r="K93" s="171"/>
      <c r="L93" s="171"/>
      <c r="M93" s="171"/>
      <c r="N93" s="171"/>
      <c r="O93" s="171"/>
      <c r="P93" s="171"/>
      <c r="Q93" s="171">
        <v>0.3</v>
      </c>
      <c r="R93" s="171"/>
      <c r="S93" s="171"/>
      <c r="T93" s="171">
        <v>0.2</v>
      </c>
      <c r="U93" s="171"/>
      <c r="V93" s="171"/>
      <c r="W93" s="171"/>
      <c r="X93" s="171"/>
      <c r="Y93" s="171"/>
      <c r="Z93" s="171"/>
      <c r="AA93" s="171"/>
      <c r="AB93" s="171"/>
      <c r="AC93" s="171"/>
      <c r="AD93" s="171"/>
      <c r="AE93" s="171"/>
      <c r="AF93" s="171"/>
      <c r="AG93" s="171"/>
      <c r="AH93" s="171"/>
      <c r="AI93" s="171"/>
      <c r="AJ93" s="171"/>
      <c r="AK93" s="171"/>
      <c r="AL93" s="171"/>
      <c r="AM93" s="171"/>
      <c r="AN93" s="171"/>
      <c r="AO93" s="171"/>
      <c r="AP93" s="93">
        <f t="shared" si="0"/>
        <v>5208094</v>
      </c>
      <c r="AR93" s="93">
        <f t="shared" si="1"/>
        <v>0.6</v>
      </c>
    </row>
    <row r="94" s="92" customFormat="1" ht="20.75" spans="1:44">
      <c r="A94" s="164">
        <v>37</v>
      </c>
      <c r="B94" s="175">
        <v>2</v>
      </c>
      <c r="C94" s="175">
        <v>5208562</v>
      </c>
      <c r="D94" s="176" t="s">
        <v>551</v>
      </c>
      <c r="E94" s="167"/>
      <c r="F94" s="167"/>
      <c r="G94" s="167"/>
      <c r="H94" s="167"/>
      <c r="I94" s="167"/>
      <c r="J94" s="167"/>
      <c r="K94" s="167"/>
      <c r="L94" s="167"/>
      <c r="M94" s="167"/>
      <c r="N94" s="167"/>
      <c r="O94" s="167"/>
      <c r="P94" s="167"/>
      <c r="Q94" s="167"/>
      <c r="R94" s="167"/>
      <c r="S94" s="167"/>
      <c r="T94" s="167"/>
      <c r="U94" s="167"/>
      <c r="V94" s="167"/>
      <c r="W94" s="167"/>
      <c r="X94" s="167"/>
      <c r="Y94" s="167"/>
      <c r="Z94" s="167"/>
      <c r="AA94" s="167"/>
      <c r="AB94" s="167"/>
      <c r="AC94" s="167"/>
      <c r="AD94" s="167"/>
      <c r="AE94" s="167"/>
      <c r="AF94" s="167">
        <v>0.2</v>
      </c>
      <c r="AG94" s="167"/>
      <c r="AH94" s="167"/>
      <c r="AI94" s="167"/>
      <c r="AJ94" s="167"/>
      <c r="AK94" s="167">
        <v>0.3</v>
      </c>
      <c r="AL94" s="167">
        <v>0.4</v>
      </c>
      <c r="AM94" s="167"/>
      <c r="AN94" s="167"/>
      <c r="AO94" s="209"/>
      <c r="AP94" s="93">
        <f t="shared" si="0"/>
        <v>5208562</v>
      </c>
      <c r="AR94" s="93">
        <f t="shared" si="1"/>
        <v>0.9</v>
      </c>
    </row>
    <row r="95" s="90" customFormat="1" ht="20.75" spans="1:44">
      <c r="A95" s="177">
        <v>38</v>
      </c>
      <c r="B95" s="178">
        <v>2.5</v>
      </c>
      <c r="C95" s="178">
        <v>5208083</v>
      </c>
      <c r="D95" s="179" t="s">
        <v>552</v>
      </c>
      <c r="E95" s="149"/>
      <c r="F95" s="149"/>
      <c r="G95" s="149">
        <v>0.2</v>
      </c>
      <c r="H95" s="149"/>
      <c r="I95" s="149">
        <v>0.1</v>
      </c>
      <c r="J95" s="149"/>
      <c r="L95" s="149"/>
      <c r="M95" s="149"/>
      <c r="N95" s="149"/>
      <c r="O95" s="149"/>
      <c r="P95" s="149"/>
      <c r="Q95" s="149"/>
      <c r="R95" s="149"/>
      <c r="S95" s="149"/>
      <c r="T95" s="149"/>
      <c r="U95" s="149"/>
      <c r="V95" s="149"/>
      <c r="W95" s="149"/>
      <c r="X95" s="149"/>
      <c r="Y95" s="149">
        <v>0.2</v>
      </c>
      <c r="Z95" s="149"/>
      <c r="AA95" s="149"/>
      <c r="AB95" s="149"/>
      <c r="AC95" s="149"/>
      <c r="AD95" s="149"/>
      <c r="AE95" s="149"/>
      <c r="AF95" s="149"/>
      <c r="AG95" s="149"/>
      <c r="AH95" s="149"/>
      <c r="AI95" s="149"/>
      <c r="AJ95" s="149"/>
      <c r="AK95" s="149"/>
      <c r="AL95" s="149"/>
      <c r="AM95" s="149"/>
      <c r="AN95" s="149"/>
      <c r="AO95" s="149"/>
      <c r="AP95" s="90">
        <f t="shared" si="0"/>
        <v>5208083</v>
      </c>
      <c r="AR95" s="90">
        <f t="shared" si="1"/>
        <v>0.5</v>
      </c>
    </row>
    <row r="96" s="90" customFormat="1" ht="20.75" spans="1:44">
      <c r="A96" s="177">
        <v>39</v>
      </c>
      <c r="B96" s="180">
        <v>3</v>
      </c>
      <c r="C96" s="181">
        <v>5208405</v>
      </c>
      <c r="D96" s="182" t="s">
        <v>553</v>
      </c>
      <c r="E96" s="149">
        <v>0.1</v>
      </c>
      <c r="F96" s="149">
        <v>0.2</v>
      </c>
      <c r="G96" s="149"/>
      <c r="H96" s="149">
        <v>0.1</v>
      </c>
      <c r="I96" s="149"/>
      <c r="J96" s="149"/>
      <c r="K96" s="149"/>
      <c r="L96" s="149"/>
      <c r="M96" s="149"/>
      <c r="N96" s="149"/>
      <c r="O96" s="149"/>
      <c r="P96" s="149"/>
      <c r="Q96" s="149"/>
      <c r="R96" s="149"/>
      <c r="S96" s="149"/>
      <c r="T96" s="149"/>
      <c r="U96" s="149"/>
      <c r="V96" s="149"/>
      <c r="W96" s="149"/>
      <c r="X96" s="149"/>
      <c r="Y96" s="149"/>
      <c r="Z96" s="149"/>
      <c r="AA96" s="149"/>
      <c r="AB96" s="149"/>
      <c r="AC96" s="149"/>
      <c r="AD96" s="149"/>
      <c r="AE96" s="149"/>
      <c r="AF96" s="149">
        <v>0.2</v>
      </c>
      <c r="AG96" s="149"/>
      <c r="AH96" s="149"/>
      <c r="AI96" s="149"/>
      <c r="AJ96" s="149"/>
      <c r="AK96" s="149"/>
      <c r="AL96" s="149"/>
      <c r="AM96" s="149"/>
      <c r="AN96" s="149"/>
      <c r="AO96" s="149"/>
      <c r="AP96" s="90">
        <f t="shared" si="0"/>
        <v>5208405</v>
      </c>
      <c r="AR96" s="90">
        <f t="shared" si="1"/>
        <v>0.6</v>
      </c>
    </row>
    <row r="97" s="89" customFormat="1" ht="20.75" spans="1:44">
      <c r="A97" s="112">
        <v>40</v>
      </c>
      <c r="B97" s="183">
        <v>2.5</v>
      </c>
      <c r="C97" s="159">
        <v>5208416</v>
      </c>
      <c r="D97" s="184" t="s">
        <v>554</v>
      </c>
      <c r="E97" s="115"/>
      <c r="F97" s="115"/>
      <c r="G97" s="115"/>
      <c r="H97" s="115"/>
      <c r="I97" s="115">
        <v>0.2</v>
      </c>
      <c r="J97" s="115"/>
      <c r="K97" s="115"/>
      <c r="L97" s="115"/>
      <c r="M97" s="115"/>
      <c r="N97" s="115">
        <v>0.2</v>
      </c>
      <c r="O97" s="115">
        <v>0.2</v>
      </c>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37"/>
      <c r="AP97" s="90">
        <f t="shared" si="0"/>
        <v>5208416</v>
      </c>
      <c r="AR97" s="90">
        <f t="shared" si="1"/>
        <v>0.6</v>
      </c>
    </row>
    <row r="98" s="90" customFormat="1" ht="30.75" spans="1:44">
      <c r="A98" s="139">
        <v>41</v>
      </c>
      <c r="B98" s="185">
        <v>1</v>
      </c>
      <c r="C98" s="186">
        <v>5208563</v>
      </c>
      <c r="D98" s="187" t="s">
        <v>555</v>
      </c>
      <c r="E98" s="149"/>
      <c r="F98" s="149"/>
      <c r="G98" s="149"/>
      <c r="H98" s="149"/>
      <c r="I98" s="149"/>
      <c r="J98" s="149"/>
      <c r="K98" s="149"/>
      <c r="L98" s="149"/>
      <c r="M98" s="149"/>
      <c r="N98" s="149"/>
      <c r="O98" s="149"/>
      <c r="P98" s="149">
        <v>0.2</v>
      </c>
      <c r="Q98" s="149"/>
      <c r="R98" s="149"/>
      <c r="S98" s="149"/>
      <c r="T98" s="149"/>
      <c r="U98" s="149"/>
      <c r="V98" s="149"/>
      <c r="W98" s="149"/>
      <c r="X98" s="149"/>
      <c r="Y98" s="149"/>
      <c r="Z98" s="149"/>
      <c r="AA98" s="149"/>
      <c r="AB98" s="149"/>
      <c r="AC98" s="149"/>
      <c r="AD98" s="149"/>
      <c r="AE98" s="149"/>
      <c r="AF98" s="149"/>
      <c r="AG98" s="149"/>
      <c r="AH98" s="149"/>
      <c r="AI98" s="149"/>
      <c r="AJ98" s="149"/>
      <c r="AK98" s="203">
        <v>0.3</v>
      </c>
      <c r="AL98" s="149"/>
      <c r="AM98" s="203">
        <v>0.3</v>
      </c>
      <c r="AN98" s="149"/>
      <c r="AO98" s="149"/>
      <c r="AP98" s="90">
        <f t="shared" si="0"/>
        <v>5208563</v>
      </c>
      <c r="AR98" s="90">
        <f t="shared" si="1"/>
        <v>0.8</v>
      </c>
    </row>
    <row r="99" s="93" customFormat="1" ht="30.75" spans="1:44">
      <c r="A99" s="168">
        <v>42</v>
      </c>
      <c r="B99" s="188">
        <v>1</v>
      </c>
      <c r="C99" s="188">
        <v>5204212</v>
      </c>
      <c r="D99" s="189" t="s">
        <v>556</v>
      </c>
      <c r="E99" s="171">
        <v>0.1</v>
      </c>
      <c r="F99" s="171"/>
      <c r="G99" s="171">
        <v>0.1</v>
      </c>
      <c r="H99" s="171">
        <v>0.1</v>
      </c>
      <c r="I99" s="171"/>
      <c r="J99" s="171"/>
      <c r="K99" s="171"/>
      <c r="L99" s="171"/>
      <c r="M99" s="171"/>
      <c r="N99" s="171"/>
      <c r="O99" s="171"/>
      <c r="P99" s="171"/>
      <c r="Q99" s="171"/>
      <c r="R99" s="171"/>
      <c r="S99" s="171"/>
      <c r="T99" s="171"/>
      <c r="U99" s="171"/>
      <c r="V99" s="171"/>
      <c r="W99" s="171"/>
      <c r="X99" s="171"/>
      <c r="Y99" s="171"/>
      <c r="Z99" s="171"/>
      <c r="AA99" s="171"/>
      <c r="AB99" s="171"/>
      <c r="AC99" s="171"/>
      <c r="AD99" s="171"/>
      <c r="AE99" s="171">
        <v>0.2</v>
      </c>
      <c r="AF99" s="171"/>
      <c r="AG99" s="171"/>
      <c r="AH99" s="171"/>
      <c r="AI99" s="171"/>
      <c r="AJ99" s="171"/>
      <c r="AK99" s="171"/>
      <c r="AL99" s="171"/>
      <c r="AM99" s="171"/>
      <c r="AN99" s="171"/>
      <c r="AO99" s="171"/>
      <c r="AP99" s="93">
        <f t="shared" si="0"/>
        <v>5204212</v>
      </c>
      <c r="AR99" s="93">
        <f t="shared" si="1"/>
        <v>0.5</v>
      </c>
    </row>
    <row r="100" s="89" customFormat="1" ht="20.75" spans="1:45">
      <c r="A100" s="164">
        <v>43</v>
      </c>
      <c r="B100" s="165">
        <v>1</v>
      </c>
      <c r="C100" s="165">
        <v>1409903</v>
      </c>
      <c r="D100" s="190" t="s">
        <v>557</v>
      </c>
      <c r="E100" s="167">
        <v>0.1</v>
      </c>
      <c r="F100" s="167"/>
      <c r="G100" s="167"/>
      <c r="H100" s="167"/>
      <c r="I100" s="167"/>
      <c r="J100" s="167"/>
      <c r="K100" s="167"/>
      <c r="L100" s="167"/>
      <c r="M100" s="167">
        <v>0.1</v>
      </c>
      <c r="N100" s="167"/>
      <c r="O100" s="167"/>
      <c r="P100" s="167"/>
      <c r="Q100" s="167"/>
      <c r="R100" s="167"/>
      <c r="S100" s="167">
        <v>0.1</v>
      </c>
      <c r="T100" s="167">
        <v>0.2</v>
      </c>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209"/>
      <c r="AP100" s="93">
        <f t="shared" si="0"/>
        <v>1409903</v>
      </c>
      <c r="AQ100" s="92"/>
      <c r="AR100" s="93">
        <f t="shared" si="1"/>
        <v>0.5</v>
      </c>
      <c r="AS100" s="92"/>
    </row>
    <row r="101" s="89" customFormat="1" ht="30.75" spans="1:44">
      <c r="A101" s="112">
        <v>44</v>
      </c>
      <c r="B101" s="161">
        <v>1</v>
      </c>
      <c r="C101" s="161">
        <v>5208010</v>
      </c>
      <c r="D101" s="191" t="s">
        <v>558</v>
      </c>
      <c r="E101" s="115"/>
      <c r="F101" s="115"/>
      <c r="G101" s="115"/>
      <c r="H101" s="115"/>
      <c r="I101" s="115"/>
      <c r="J101" s="115"/>
      <c r="K101" s="115"/>
      <c r="L101" s="115"/>
      <c r="M101" s="115"/>
      <c r="N101" s="115"/>
      <c r="O101" s="115"/>
      <c r="P101" s="115"/>
      <c r="Q101" s="115"/>
      <c r="R101" s="115">
        <v>0.2</v>
      </c>
      <c r="T101" s="115"/>
      <c r="U101" s="115"/>
      <c r="V101" s="115"/>
      <c r="W101" s="115"/>
      <c r="X101" s="115"/>
      <c r="Y101" s="115"/>
      <c r="Z101" s="115"/>
      <c r="AA101" s="115"/>
      <c r="AB101" s="115"/>
      <c r="AC101" s="115"/>
      <c r="AD101" s="115"/>
      <c r="AE101" s="115"/>
      <c r="AF101" s="115"/>
      <c r="AG101" s="115"/>
      <c r="AH101" s="115"/>
      <c r="AI101" s="115"/>
      <c r="AJ101" s="115"/>
      <c r="AK101" s="115"/>
      <c r="AL101" s="115"/>
      <c r="AM101" s="115">
        <v>0.1</v>
      </c>
      <c r="AN101" s="115">
        <v>0.2</v>
      </c>
      <c r="AO101" s="137"/>
      <c r="AP101" s="90">
        <f t="shared" si="0"/>
        <v>5208010</v>
      </c>
      <c r="AR101" s="90">
        <f t="shared" si="1"/>
        <v>0.5</v>
      </c>
    </row>
    <row r="102" s="94" customFormat="1" ht="30.75" spans="1:44">
      <c r="A102" s="192">
        <v>45</v>
      </c>
      <c r="B102" s="193">
        <v>0.5</v>
      </c>
      <c r="C102" s="193">
        <v>5208071</v>
      </c>
      <c r="D102" s="194" t="s">
        <v>559</v>
      </c>
      <c r="E102" s="195"/>
      <c r="F102" s="195"/>
      <c r="G102" s="195"/>
      <c r="H102" s="195"/>
      <c r="I102" s="195"/>
      <c r="J102" s="195"/>
      <c r="K102" s="195"/>
      <c r="L102" s="195"/>
      <c r="M102" s="195"/>
      <c r="N102" s="195"/>
      <c r="O102" s="195"/>
      <c r="P102" s="195"/>
      <c r="Q102" s="195"/>
      <c r="R102" s="195">
        <v>0.2</v>
      </c>
      <c r="S102" s="195"/>
      <c r="T102" s="195"/>
      <c r="U102" s="195">
        <v>0.2</v>
      </c>
      <c r="V102" s="195">
        <v>0.1</v>
      </c>
      <c r="X102" s="195"/>
      <c r="Y102" s="195"/>
      <c r="Z102" s="195"/>
      <c r="AA102" s="195"/>
      <c r="AB102" s="195"/>
      <c r="AC102" s="195"/>
      <c r="AD102" s="195"/>
      <c r="AE102" s="195"/>
      <c r="AF102" s="195"/>
      <c r="AG102" s="195"/>
      <c r="AH102" s="195"/>
      <c r="AI102" s="195"/>
      <c r="AJ102" s="195"/>
      <c r="AK102" s="195"/>
      <c r="AL102" s="195"/>
      <c r="AM102" s="195"/>
      <c r="AN102" s="195"/>
      <c r="AO102" s="195"/>
      <c r="AP102" s="94">
        <f t="shared" si="0"/>
        <v>5208071</v>
      </c>
      <c r="AR102" s="90">
        <f t="shared" si="1"/>
        <v>0.5</v>
      </c>
    </row>
    <row r="103" s="89" customFormat="1" ht="30.75" spans="1:44">
      <c r="A103" s="112">
        <v>46</v>
      </c>
      <c r="B103" s="161">
        <v>1</v>
      </c>
      <c r="C103" s="161">
        <v>5208003</v>
      </c>
      <c r="D103" s="191" t="s">
        <v>560</v>
      </c>
      <c r="E103" s="115"/>
      <c r="F103" s="115"/>
      <c r="G103" s="115"/>
      <c r="H103" s="115"/>
      <c r="I103" s="115"/>
      <c r="J103" s="115"/>
      <c r="K103" s="115"/>
      <c r="L103" s="115"/>
      <c r="M103" s="115"/>
      <c r="N103" s="115">
        <v>0.2</v>
      </c>
      <c r="P103" s="115"/>
      <c r="Q103" s="115"/>
      <c r="R103" s="115"/>
      <c r="S103" s="115"/>
      <c r="T103" s="115">
        <v>0.2</v>
      </c>
      <c r="U103" s="115"/>
      <c r="V103" s="115"/>
      <c r="W103" s="115">
        <v>0.1</v>
      </c>
      <c r="X103" s="115"/>
      <c r="Y103" s="115"/>
      <c r="Z103" s="115"/>
      <c r="AA103" s="115"/>
      <c r="AB103" s="115"/>
      <c r="AC103" s="115"/>
      <c r="AD103" s="115"/>
      <c r="AE103" s="115"/>
      <c r="AF103" s="115"/>
      <c r="AG103" s="115"/>
      <c r="AH103" s="115"/>
      <c r="AI103" s="115"/>
      <c r="AJ103" s="115"/>
      <c r="AK103" s="115"/>
      <c r="AL103" s="115"/>
      <c r="AM103" s="115"/>
      <c r="AN103" s="115"/>
      <c r="AO103" s="137"/>
      <c r="AP103" s="90">
        <f t="shared" si="0"/>
        <v>5208003</v>
      </c>
      <c r="AR103" s="90">
        <f t="shared" si="1"/>
        <v>0.5</v>
      </c>
    </row>
    <row r="104" s="90" customFormat="1" ht="30.75" spans="1:45">
      <c r="A104" s="168">
        <v>47</v>
      </c>
      <c r="B104" s="169">
        <v>0.5</v>
      </c>
      <c r="C104" s="169">
        <v>5208073</v>
      </c>
      <c r="D104" s="196" t="s">
        <v>561</v>
      </c>
      <c r="E104" s="171"/>
      <c r="F104" s="171"/>
      <c r="G104" s="171"/>
      <c r="H104" s="171"/>
      <c r="I104" s="171"/>
      <c r="J104" s="171"/>
      <c r="K104" s="171">
        <v>0.1</v>
      </c>
      <c r="L104" s="171"/>
      <c r="M104" s="171"/>
      <c r="N104" s="171"/>
      <c r="O104" s="171">
        <v>0.2</v>
      </c>
      <c r="P104" s="171">
        <v>0.1</v>
      </c>
      <c r="Q104" s="171"/>
      <c r="R104" s="171"/>
      <c r="S104" s="171">
        <v>0.2</v>
      </c>
      <c r="T104" s="171"/>
      <c r="U104" s="171"/>
      <c r="V104" s="171">
        <v>0.1</v>
      </c>
      <c r="W104" s="171"/>
      <c r="X104" s="171"/>
      <c r="Y104" s="171"/>
      <c r="Z104" s="171"/>
      <c r="AA104" s="171"/>
      <c r="AB104" s="171"/>
      <c r="AC104" s="171"/>
      <c r="AD104" s="171"/>
      <c r="AE104" s="171"/>
      <c r="AF104" s="171"/>
      <c r="AG104" s="171"/>
      <c r="AH104" s="171"/>
      <c r="AI104" s="171"/>
      <c r="AJ104" s="171"/>
      <c r="AK104" s="171"/>
      <c r="AL104" s="171"/>
      <c r="AM104" s="171"/>
      <c r="AN104" s="171"/>
      <c r="AO104" s="171"/>
      <c r="AP104" s="93">
        <f t="shared" si="0"/>
        <v>5208073</v>
      </c>
      <c r="AQ104" s="93"/>
      <c r="AR104" s="93">
        <f t="shared" si="1"/>
        <v>0.7</v>
      </c>
      <c r="AS104" s="93"/>
    </row>
    <row r="105" s="90" customFormat="1" ht="30.75" spans="1:45">
      <c r="A105" s="168">
        <v>48</v>
      </c>
      <c r="B105" s="169">
        <v>0.5</v>
      </c>
      <c r="C105" s="169">
        <v>5208008</v>
      </c>
      <c r="D105" s="196" t="s">
        <v>562</v>
      </c>
      <c r="E105" s="171"/>
      <c r="F105" s="171"/>
      <c r="G105" s="171"/>
      <c r="H105" s="171"/>
      <c r="I105" s="171"/>
      <c r="J105" s="171"/>
      <c r="K105" s="171"/>
      <c r="L105" s="171"/>
      <c r="M105" s="171"/>
      <c r="N105" s="171"/>
      <c r="O105" s="171"/>
      <c r="P105" s="171"/>
      <c r="Q105" s="171"/>
      <c r="R105" s="171"/>
      <c r="S105" s="171">
        <v>0.1</v>
      </c>
      <c r="T105" s="171"/>
      <c r="U105" s="171"/>
      <c r="V105" s="171">
        <v>0.3</v>
      </c>
      <c r="W105" s="171">
        <v>0.2</v>
      </c>
      <c r="X105" s="171"/>
      <c r="Y105" s="171"/>
      <c r="Z105" s="171"/>
      <c r="AA105" s="171"/>
      <c r="AB105" s="171"/>
      <c r="AC105" s="171"/>
      <c r="AD105" s="171"/>
      <c r="AE105" s="171"/>
      <c r="AF105" s="171"/>
      <c r="AG105" s="171"/>
      <c r="AH105" s="171"/>
      <c r="AI105" s="171"/>
      <c r="AJ105" s="171"/>
      <c r="AK105" s="171"/>
      <c r="AL105" s="171"/>
      <c r="AM105" s="171"/>
      <c r="AN105" s="171"/>
      <c r="AO105" s="171"/>
      <c r="AP105" s="93">
        <f t="shared" si="0"/>
        <v>5208008</v>
      </c>
      <c r="AQ105" s="93"/>
      <c r="AR105" s="93">
        <f t="shared" si="1"/>
        <v>0.6</v>
      </c>
      <c r="AS105" s="93"/>
    </row>
    <row r="106" s="90" customFormat="1" ht="40.75" spans="1:44">
      <c r="A106" s="139">
        <v>49</v>
      </c>
      <c r="B106" s="197">
        <v>1</v>
      </c>
      <c r="C106" s="197">
        <v>5208314</v>
      </c>
      <c r="D106" s="198" t="s">
        <v>563</v>
      </c>
      <c r="E106" s="149"/>
      <c r="F106" s="149"/>
      <c r="G106" s="149"/>
      <c r="H106" s="149"/>
      <c r="I106" s="149"/>
      <c r="J106" s="149"/>
      <c r="K106" s="149"/>
      <c r="L106" s="149"/>
      <c r="M106" s="149"/>
      <c r="N106" s="149"/>
      <c r="O106" s="149"/>
      <c r="P106" s="149"/>
      <c r="Q106" s="149">
        <v>0.1</v>
      </c>
      <c r="R106" s="149">
        <v>0.2</v>
      </c>
      <c r="S106" s="149"/>
      <c r="T106" s="149"/>
      <c r="U106" s="149"/>
      <c r="V106" s="149"/>
      <c r="W106" s="149"/>
      <c r="X106" s="149"/>
      <c r="Y106" s="149">
        <v>0.2</v>
      </c>
      <c r="Z106" s="149"/>
      <c r="AA106" s="149"/>
      <c r="AB106" s="149"/>
      <c r="AC106" s="149"/>
      <c r="AD106" s="149"/>
      <c r="AE106" s="149"/>
      <c r="AF106" s="149"/>
      <c r="AG106" s="149"/>
      <c r="AH106" s="149"/>
      <c r="AI106" s="149"/>
      <c r="AJ106" s="149"/>
      <c r="AL106" s="203">
        <v>0.2</v>
      </c>
      <c r="AM106" s="149"/>
      <c r="AN106" s="149"/>
      <c r="AO106" s="149"/>
      <c r="AP106" s="90">
        <f t="shared" si="0"/>
        <v>5208314</v>
      </c>
      <c r="AR106" s="90">
        <f t="shared" si="1"/>
        <v>0.7</v>
      </c>
    </row>
    <row r="107" s="92" customFormat="1" ht="30.75" spans="1:44">
      <c r="A107" s="164">
        <v>50</v>
      </c>
      <c r="B107" s="165">
        <v>2</v>
      </c>
      <c r="C107" s="165">
        <v>5208028</v>
      </c>
      <c r="D107" s="190" t="s">
        <v>564</v>
      </c>
      <c r="E107" s="167"/>
      <c r="F107" s="167"/>
      <c r="G107" s="167"/>
      <c r="H107" s="167"/>
      <c r="I107" s="167"/>
      <c r="J107" s="167"/>
      <c r="K107" s="167"/>
      <c r="L107" s="167"/>
      <c r="M107" s="167"/>
      <c r="N107" s="167">
        <v>0.2</v>
      </c>
      <c r="O107" s="167"/>
      <c r="P107" s="167"/>
      <c r="Q107" s="167"/>
      <c r="S107" s="167"/>
      <c r="T107" s="167"/>
      <c r="U107" s="167"/>
      <c r="V107" s="167">
        <v>0.2</v>
      </c>
      <c r="W107" s="167"/>
      <c r="X107" s="201"/>
      <c r="Y107" s="167"/>
      <c r="Z107" s="167"/>
      <c r="AA107" s="167"/>
      <c r="AB107" s="167"/>
      <c r="AC107" s="167"/>
      <c r="AD107" s="167"/>
      <c r="AE107" s="167"/>
      <c r="AF107" s="167"/>
      <c r="AG107" s="167"/>
      <c r="AH107" s="204">
        <v>0.2</v>
      </c>
      <c r="AI107" s="167"/>
      <c r="AJ107" s="167"/>
      <c r="AK107" s="167">
        <v>0.1</v>
      </c>
      <c r="AL107" s="201"/>
      <c r="AM107" s="167">
        <v>0.2</v>
      </c>
      <c r="AN107" s="167"/>
      <c r="AO107" s="209"/>
      <c r="AP107" s="93">
        <f t="shared" si="0"/>
        <v>5208028</v>
      </c>
      <c r="AR107" s="93">
        <f t="shared" si="1"/>
        <v>0.9</v>
      </c>
    </row>
    <row r="108" s="90" customFormat="1" ht="30.75" spans="1:44">
      <c r="A108" s="139">
        <v>51</v>
      </c>
      <c r="B108" s="197">
        <v>1</v>
      </c>
      <c r="C108" s="197">
        <v>5208312</v>
      </c>
      <c r="D108" s="198" t="s">
        <v>565</v>
      </c>
      <c r="E108" s="149"/>
      <c r="F108" s="149">
        <v>0.1</v>
      </c>
      <c r="G108" s="149"/>
      <c r="H108" s="149"/>
      <c r="I108" s="149"/>
      <c r="J108" s="149">
        <v>0.2</v>
      </c>
      <c r="K108" s="149"/>
      <c r="L108" s="149"/>
      <c r="M108" s="149"/>
      <c r="N108" s="149">
        <v>0.1</v>
      </c>
      <c r="O108" s="149"/>
      <c r="P108" s="149"/>
      <c r="Q108" s="149"/>
      <c r="R108" s="167">
        <v>0.2</v>
      </c>
      <c r="S108" s="149"/>
      <c r="T108" s="149"/>
      <c r="U108" s="149"/>
      <c r="V108" s="149"/>
      <c r="W108" s="149"/>
      <c r="X108" s="149"/>
      <c r="Y108" s="149"/>
      <c r="Z108" s="149"/>
      <c r="AA108" s="149"/>
      <c r="AB108" s="149"/>
      <c r="AC108" s="149"/>
      <c r="AD108" s="149"/>
      <c r="AE108" s="149"/>
      <c r="AF108" s="149"/>
      <c r="AG108" s="149"/>
      <c r="AH108" s="149"/>
      <c r="AI108" s="149"/>
      <c r="AJ108" s="149"/>
      <c r="AK108" s="149">
        <v>0.2</v>
      </c>
      <c r="AL108" s="149"/>
      <c r="AM108" s="149"/>
      <c r="AN108" s="149"/>
      <c r="AO108" s="149"/>
      <c r="AP108" s="90">
        <f t="shared" si="0"/>
        <v>5208312</v>
      </c>
      <c r="AR108" s="90">
        <f t="shared" si="1"/>
        <v>0.8</v>
      </c>
    </row>
    <row r="109" s="93" customFormat="1" ht="30.75" spans="1:44">
      <c r="A109" s="172">
        <v>52</v>
      </c>
      <c r="B109" s="173">
        <v>0.5</v>
      </c>
      <c r="C109" s="173">
        <v>5208026</v>
      </c>
      <c r="D109" s="199" t="s">
        <v>566</v>
      </c>
      <c r="E109" s="171"/>
      <c r="F109" s="171"/>
      <c r="G109" s="171"/>
      <c r="H109" s="171"/>
      <c r="I109" s="171"/>
      <c r="J109" s="171"/>
      <c r="K109" s="171">
        <v>0.1</v>
      </c>
      <c r="L109" s="171"/>
      <c r="M109" s="171"/>
      <c r="N109" s="171"/>
      <c r="O109" s="171"/>
      <c r="P109" s="171">
        <v>0.3</v>
      </c>
      <c r="Q109" s="171"/>
      <c r="R109" s="171"/>
      <c r="S109" s="171"/>
      <c r="T109" s="171"/>
      <c r="U109" s="171"/>
      <c r="V109" s="171"/>
      <c r="W109" s="171"/>
      <c r="X109" s="171"/>
      <c r="Y109" s="171"/>
      <c r="Z109" s="171"/>
      <c r="AA109" s="171"/>
      <c r="AB109" s="171"/>
      <c r="AC109" s="171"/>
      <c r="AD109" s="171"/>
      <c r="AE109" s="171"/>
      <c r="AF109" s="171">
        <v>0.2</v>
      </c>
      <c r="AG109" s="171"/>
      <c r="AH109" s="171"/>
      <c r="AI109" s="171"/>
      <c r="AJ109" s="171"/>
      <c r="AK109" s="171"/>
      <c r="AL109" s="171"/>
      <c r="AM109" s="171"/>
      <c r="AN109" s="171"/>
      <c r="AO109" s="171"/>
      <c r="AP109" s="93">
        <f t="shared" si="0"/>
        <v>5208026</v>
      </c>
      <c r="AR109" s="93">
        <f t="shared" si="1"/>
        <v>0.6</v>
      </c>
    </row>
    <row r="110" s="93" customFormat="1" ht="30.75" spans="1:44">
      <c r="A110" s="172">
        <v>53</v>
      </c>
      <c r="B110" s="173">
        <v>1</v>
      </c>
      <c r="C110" s="173">
        <v>5208410</v>
      </c>
      <c r="D110" s="199" t="s">
        <v>567</v>
      </c>
      <c r="E110" s="171"/>
      <c r="F110" s="171"/>
      <c r="G110" s="171"/>
      <c r="H110" s="171"/>
      <c r="I110" s="171"/>
      <c r="J110" s="171"/>
      <c r="K110" s="171">
        <v>0.1</v>
      </c>
      <c r="L110" s="171"/>
      <c r="M110" s="171">
        <v>0.1</v>
      </c>
      <c r="O110" s="171"/>
      <c r="P110" s="171"/>
      <c r="Q110" s="171"/>
      <c r="R110" s="171"/>
      <c r="S110" s="171">
        <v>0.2</v>
      </c>
      <c r="T110" s="171"/>
      <c r="U110" s="171"/>
      <c r="V110" s="171"/>
      <c r="W110" s="171"/>
      <c r="X110" s="171"/>
      <c r="Y110" s="171"/>
      <c r="Z110" s="171"/>
      <c r="AA110" s="171"/>
      <c r="AB110" s="171"/>
      <c r="AC110" s="171"/>
      <c r="AD110" s="171"/>
      <c r="AE110" s="171"/>
      <c r="AF110" s="171"/>
      <c r="AG110" s="171">
        <v>0.2</v>
      </c>
      <c r="AH110" s="171"/>
      <c r="AI110" s="171"/>
      <c r="AJ110" s="171"/>
      <c r="AK110" s="171"/>
      <c r="AL110" s="171"/>
      <c r="AM110" s="171"/>
      <c r="AN110" s="171"/>
      <c r="AO110" s="171"/>
      <c r="AP110" s="93">
        <f t="shared" si="0"/>
        <v>5208410</v>
      </c>
      <c r="AR110" s="93">
        <f t="shared" si="1"/>
        <v>0.6</v>
      </c>
    </row>
    <row r="111" s="93" customFormat="1" ht="40.75" spans="1:44">
      <c r="A111" s="172">
        <v>54</v>
      </c>
      <c r="B111" s="173">
        <v>1</v>
      </c>
      <c r="C111" s="173">
        <v>5208316</v>
      </c>
      <c r="D111" s="199" t="s">
        <v>568</v>
      </c>
      <c r="E111" s="171"/>
      <c r="F111" s="171"/>
      <c r="G111" s="171"/>
      <c r="H111" s="171"/>
      <c r="I111" s="171"/>
      <c r="J111" s="171">
        <v>0.1</v>
      </c>
      <c r="K111" s="171"/>
      <c r="L111" s="171"/>
      <c r="M111" s="171">
        <v>0.2</v>
      </c>
      <c r="N111" s="171"/>
      <c r="O111" s="171"/>
      <c r="P111" s="171"/>
      <c r="Q111" s="171"/>
      <c r="S111" s="171"/>
      <c r="T111" s="171"/>
      <c r="U111" s="171"/>
      <c r="V111" s="171"/>
      <c r="W111" s="171"/>
      <c r="X111" s="171"/>
      <c r="Y111" s="171"/>
      <c r="Z111" s="171"/>
      <c r="AA111" s="171"/>
      <c r="AB111" s="171"/>
      <c r="AC111" s="171"/>
      <c r="AD111" s="171"/>
      <c r="AE111" s="171"/>
      <c r="AF111" s="171"/>
      <c r="AG111" s="171"/>
      <c r="AH111" s="171"/>
      <c r="AI111" s="171"/>
      <c r="AJ111" s="171"/>
      <c r="AK111" s="171"/>
      <c r="AL111" s="205">
        <v>0.3</v>
      </c>
      <c r="AM111" s="171"/>
      <c r="AN111" s="171"/>
      <c r="AO111" s="171"/>
      <c r="AP111" s="93">
        <f t="shared" si="0"/>
        <v>5208316</v>
      </c>
      <c r="AR111" s="93">
        <f t="shared" si="1"/>
        <v>0.6</v>
      </c>
    </row>
    <row r="112" s="90" customFormat="1" ht="30.75" spans="1:44">
      <c r="A112" s="177">
        <v>55</v>
      </c>
      <c r="B112" s="178">
        <v>1</v>
      </c>
      <c r="C112" s="178">
        <v>5208304</v>
      </c>
      <c r="D112" s="179" t="s">
        <v>569</v>
      </c>
      <c r="E112" s="149"/>
      <c r="F112" s="149"/>
      <c r="G112" s="149"/>
      <c r="H112" s="149"/>
      <c r="I112" s="149"/>
      <c r="J112" s="149"/>
      <c r="K112" s="149"/>
      <c r="L112" s="149"/>
      <c r="M112" s="149"/>
      <c r="N112" s="149"/>
      <c r="O112" s="149"/>
      <c r="P112" s="149">
        <v>0.1</v>
      </c>
      <c r="Q112" s="149"/>
      <c r="R112" s="149"/>
      <c r="S112" s="149"/>
      <c r="T112" s="149"/>
      <c r="U112" s="149"/>
      <c r="V112" s="149"/>
      <c r="W112" s="149"/>
      <c r="X112" s="149"/>
      <c r="Y112" s="149"/>
      <c r="Z112" s="203">
        <v>0.3</v>
      </c>
      <c r="AA112" s="203">
        <v>0.2</v>
      </c>
      <c r="AB112" s="149"/>
      <c r="AC112" s="149"/>
      <c r="AD112" s="149"/>
      <c r="AE112" s="149">
        <v>0.2</v>
      </c>
      <c r="AF112" s="149"/>
      <c r="AG112" s="149"/>
      <c r="AH112" s="149"/>
      <c r="AI112" s="149"/>
      <c r="AJ112" s="149"/>
      <c r="AK112" s="149"/>
      <c r="AL112" s="149"/>
      <c r="AM112" s="149"/>
      <c r="AN112" s="149"/>
      <c r="AO112" s="149"/>
      <c r="AP112" s="90">
        <f t="shared" si="0"/>
        <v>5208304</v>
      </c>
      <c r="AR112" s="90">
        <f t="shared" si="1"/>
        <v>0.8</v>
      </c>
    </row>
    <row r="113" s="90" customFormat="1" ht="40.75" spans="1:44">
      <c r="A113" s="177">
        <v>56</v>
      </c>
      <c r="B113" s="178">
        <v>1</v>
      </c>
      <c r="C113" s="178">
        <v>5208095</v>
      </c>
      <c r="D113" s="179" t="s">
        <v>570</v>
      </c>
      <c r="E113" s="149"/>
      <c r="F113" s="149"/>
      <c r="G113" s="149"/>
      <c r="H113" s="149"/>
      <c r="I113" s="149"/>
      <c r="K113" s="149"/>
      <c r="L113" s="149"/>
      <c r="M113" s="149"/>
      <c r="N113" s="149"/>
      <c r="O113" s="149"/>
      <c r="P113" s="149">
        <v>0.2</v>
      </c>
      <c r="Q113" s="149"/>
      <c r="R113" s="149">
        <v>0.1</v>
      </c>
      <c r="S113" s="149"/>
      <c r="T113" s="149"/>
      <c r="U113" s="149"/>
      <c r="V113" s="149"/>
      <c r="W113" s="149"/>
      <c r="X113" s="149"/>
      <c r="Y113" s="149"/>
      <c r="Z113" s="203">
        <v>0.3</v>
      </c>
      <c r="AA113" s="203">
        <v>0.2</v>
      </c>
      <c r="AB113" s="149"/>
      <c r="AC113" s="149"/>
      <c r="AD113" s="149"/>
      <c r="AE113" s="149"/>
      <c r="AF113" s="149"/>
      <c r="AG113" s="149"/>
      <c r="AH113" s="149"/>
      <c r="AI113" s="149"/>
      <c r="AJ113" s="149"/>
      <c r="AK113" s="149"/>
      <c r="AL113" s="149"/>
      <c r="AM113" s="149"/>
      <c r="AN113" s="149"/>
      <c r="AO113" s="149"/>
      <c r="AP113" s="90">
        <f t="shared" si="0"/>
        <v>5208095</v>
      </c>
      <c r="AR113" s="90">
        <f t="shared" si="1"/>
        <v>0.8</v>
      </c>
    </row>
    <row r="114" s="92" customFormat="1" ht="30.75" spans="1:44">
      <c r="A114" s="164">
        <v>57</v>
      </c>
      <c r="B114" s="165">
        <v>2</v>
      </c>
      <c r="C114" s="165">
        <v>5208088</v>
      </c>
      <c r="D114" s="190" t="s">
        <v>571</v>
      </c>
      <c r="E114" s="171"/>
      <c r="F114" s="167"/>
      <c r="G114" s="167"/>
      <c r="H114" s="167"/>
      <c r="I114" s="167"/>
      <c r="J114" s="167"/>
      <c r="K114" s="167"/>
      <c r="L114" s="167"/>
      <c r="M114" s="167"/>
      <c r="N114" s="167"/>
      <c r="O114" s="167"/>
      <c r="P114" s="167">
        <v>0.1</v>
      </c>
      <c r="Q114" s="167">
        <v>0.1</v>
      </c>
      <c r="R114" s="167"/>
      <c r="S114" s="167">
        <v>0.3</v>
      </c>
      <c r="T114" s="167"/>
      <c r="U114" s="167"/>
      <c r="V114" s="167"/>
      <c r="W114" s="167"/>
      <c r="X114" s="167"/>
      <c r="Y114" s="167"/>
      <c r="Z114" s="167"/>
      <c r="AA114" s="167"/>
      <c r="AB114" s="167"/>
      <c r="AC114" s="167"/>
      <c r="AD114" s="167"/>
      <c r="AE114" s="167"/>
      <c r="AF114" s="167"/>
      <c r="AG114" s="167">
        <v>0.3</v>
      </c>
      <c r="AH114" s="167"/>
      <c r="AI114" s="167"/>
      <c r="AJ114" s="167"/>
      <c r="AK114" s="167"/>
      <c r="AL114" s="167">
        <v>0.1</v>
      </c>
      <c r="AM114" s="167"/>
      <c r="AN114" s="167">
        <v>0.1</v>
      </c>
      <c r="AO114" s="209"/>
      <c r="AP114" s="93">
        <f t="shared" si="0"/>
        <v>5208088</v>
      </c>
      <c r="AR114" s="93">
        <f t="shared" si="1"/>
        <v>1</v>
      </c>
    </row>
    <row r="115" s="93" customFormat="1" ht="20.75" spans="1:44">
      <c r="A115" s="172">
        <v>58</v>
      </c>
      <c r="B115" s="173">
        <v>13</v>
      </c>
      <c r="C115" s="173">
        <v>5208092</v>
      </c>
      <c r="D115" s="199" t="s">
        <v>572</v>
      </c>
      <c r="E115" s="171"/>
      <c r="F115" s="171"/>
      <c r="G115" s="171"/>
      <c r="H115" s="171"/>
      <c r="I115" s="171"/>
      <c r="J115" s="171"/>
      <c r="L115" s="171"/>
      <c r="M115" s="171"/>
      <c r="N115" s="171"/>
      <c r="O115" s="171"/>
      <c r="P115" s="171"/>
      <c r="Q115" s="171"/>
      <c r="R115" s="171"/>
      <c r="S115" s="171"/>
      <c r="T115" s="171"/>
      <c r="U115" s="171"/>
      <c r="V115" s="171"/>
      <c r="W115" s="171"/>
      <c r="X115" s="171">
        <v>0.2</v>
      </c>
      <c r="Y115" s="171"/>
      <c r="Z115" s="171">
        <v>0.1</v>
      </c>
      <c r="AA115" s="171"/>
      <c r="AB115" s="171"/>
      <c r="AC115" s="171"/>
      <c r="AD115" s="171"/>
      <c r="AE115" s="171"/>
      <c r="AF115" s="171"/>
      <c r="AG115" s="205">
        <v>0.1</v>
      </c>
      <c r="AH115" s="171"/>
      <c r="AI115" s="171"/>
      <c r="AJ115" s="171">
        <v>0.3</v>
      </c>
      <c r="AK115" s="171"/>
      <c r="AL115" s="171"/>
      <c r="AM115" s="171">
        <v>0.2</v>
      </c>
      <c r="AN115" s="171"/>
      <c r="AO115" s="171"/>
      <c r="AP115" s="93">
        <f t="shared" si="0"/>
        <v>5208092</v>
      </c>
      <c r="AR115" s="93">
        <f t="shared" si="1"/>
        <v>0.9</v>
      </c>
    </row>
    <row r="116" s="92" customFormat="1" ht="20.75" spans="1:44">
      <c r="A116" s="164">
        <v>59</v>
      </c>
      <c r="B116" s="165">
        <v>13</v>
      </c>
      <c r="C116" s="165">
        <v>5208103</v>
      </c>
      <c r="D116" s="190" t="s">
        <v>573</v>
      </c>
      <c r="E116" s="167"/>
      <c r="F116" s="167"/>
      <c r="G116" s="167"/>
      <c r="H116" s="167"/>
      <c r="I116" s="167"/>
      <c r="J116" s="167"/>
      <c r="K116" s="167"/>
      <c r="L116" s="167"/>
      <c r="M116" s="167">
        <v>0.2</v>
      </c>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v>0.4</v>
      </c>
      <c r="AI116" s="167">
        <v>0.2</v>
      </c>
      <c r="AJ116" s="167"/>
      <c r="AK116" s="167"/>
      <c r="AL116" s="167"/>
      <c r="AM116" s="167">
        <v>0.2</v>
      </c>
      <c r="AN116" s="167"/>
      <c r="AO116" s="209"/>
      <c r="AP116" s="93">
        <f t="shared" si="0"/>
        <v>5208103</v>
      </c>
      <c r="AR116" s="93">
        <f t="shared" si="1"/>
        <v>1</v>
      </c>
    </row>
    <row r="117" spans="5:44">
      <c r="E117" s="90">
        <f>SUM(E58:E116)</f>
        <v>1</v>
      </c>
      <c r="F117" s="90">
        <f>SUM(F58:F116)</f>
        <v>1</v>
      </c>
      <c r="G117" s="90">
        <f>SUM(G58:G116)</f>
        <v>1</v>
      </c>
      <c r="H117" s="90">
        <f t="shared" ref="H117:AO117" si="2">SUM(H58:H116)</f>
        <v>1</v>
      </c>
      <c r="I117" s="200">
        <f t="shared" si="2"/>
        <v>1</v>
      </c>
      <c r="J117" s="200">
        <f t="shared" si="2"/>
        <v>1</v>
      </c>
      <c r="K117" s="200">
        <f t="shared" si="2"/>
        <v>1</v>
      </c>
      <c r="L117" s="200">
        <f t="shared" si="2"/>
        <v>1</v>
      </c>
      <c r="M117" s="200">
        <f t="shared" si="2"/>
        <v>1</v>
      </c>
      <c r="N117" s="200">
        <f t="shared" si="2"/>
        <v>1.2</v>
      </c>
      <c r="O117" s="200">
        <f t="shared" si="2"/>
        <v>1</v>
      </c>
      <c r="P117" s="200">
        <f t="shared" si="2"/>
        <v>1</v>
      </c>
      <c r="Q117" s="90">
        <f t="shared" si="2"/>
        <v>1.2</v>
      </c>
      <c r="R117" s="90">
        <f t="shared" si="2"/>
        <v>1.1</v>
      </c>
      <c r="S117" s="90">
        <f t="shared" si="2"/>
        <v>1.2</v>
      </c>
      <c r="T117" s="90">
        <f t="shared" si="2"/>
        <v>1</v>
      </c>
      <c r="U117" s="90">
        <f t="shared" si="2"/>
        <v>1</v>
      </c>
      <c r="V117" s="90">
        <f t="shared" si="2"/>
        <v>1.2</v>
      </c>
      <c r="W117" s="90">
        <f t="shared" si="2"/>
        <v>1</v>
      </c>
      <c r="X117" s="90">
        <f t="shared" si="2"/>
        <v>1</v>
      </c>
      <c r="Y117" s="90">
        <f t="shared" si="2"/>
        <v>1</v>
      </c>
      <c r="Z117" s="90">
        <f t="shared" si="2"/>
        <v>1</v>
      </c>
      <c r="AA117" s="90">
        <f t="shared" si="2"/>
        <v>1</v>
      </c>
      <c r="AB117" s="90">
        <f t="shared" si="2"/>
        <v>1</v>
      </c>
      <c r="AC117" s="90">
        <f t="shared" si="2"/>
        <v>1</v>
      </c>
      <c r="AD117" s="90">
        <f t="shared" si="2"/>
        <v>1</v>
      </c>
      <c r="AE117" s="90">
        <f t="shared" si="2"/>
        <v>1</v>
      </c>
      <c r="AF117" s="90">
        <f t="shared" si="2"/>
        <v>1</v>
      </c>
      <c r="AG117" s="90">
        <f t="shared" si="2"/>
        <v>1</v>
      </c>
      <c r="AH117" s="90">
        <f t="shared" si="2"/>
        <v>1</v>
      </c>
      <c r="AI117" s="90">
        <f t="shared" si="2"/>
        <v>1</v>
      </c>
      <c r="AJ117" s="90">
        <f t="shared" si="2"/>
        <v>0.8</v>
      </c>
      <c r="AK117" s="90">
        <f t="shared" si="2"/>
        <v>1</v>
      </c>
      <c r="AL117" s="90">
        <f t="shared" si="2"/>
        <v>1</v>
      </c>
      <c r="AM117" s="90">
        <f t="shared" si="2"/>
        <v>1</v>
      </c>
      <c r="AN117" s="90">
        <f t="shared" si="2"/>
        <v>1</v>
      </c>
      <c r="AO117" s="90">
        <f t="shared" si="2"/>
        <v>1</v>
      </c>
      <c r="AR117" s="90"/>
    </row>
    <row r="120" spans="1:1">
      <c r="A120">
        <v>2</v>
      </c>
    </row>
    <row r="121" spans="1:1">
      <c r="A121">
        <v>3</v>
      </c>
    </row>
    <row r="122" spans="1:1">
      <c r="A122">
        <v>4</v>
      </c>
    </row>
    <row r="123" spans="1:1">
      <c r="A123">
        <v>5</v>
      </c>
    </row>
    <row r="124" spans="1:1">
      <c r="A124">
        <v>6</v>
      </c>
    </row>
    <row r="125" spans="1:1">
      <c r="A125">
        <v>7</v>
      </c>
    </row>
  </sheetData>
  <autoFilter ref="A58:AQ117">
    <extLst/>
  </autoFilter>
  <mergeCells count="14">
    <mergeCell ref="E1:H1"/>
    <mergeCell ref="I1:L1"/>
    <mergeCell ref="M1:P1"/>
    <mergeCell ref="Q1:T1"/>
    <mergeCell ref="U1:W1"/>
    <mergeCell ref="X1:Y1"/>
    <mergeCell ref="Z1:AA1"/>
    <mergeCell ref="AB1:AD1"/>
    <mergeCell ref="AE1:AG1"/>
    <mergeCell ref="AH1:AJ1"/>
    <mergeCell ref="AK1:AM1"/>
    <mergeCell ref="AN1:AO1"/>
    <mergeCell ref="A1:A2"/>
    <mergeCell ref="B1:D2"/>
  </mergeCells>
  <dataValidations count="1">
    <dataValidation type="decimal" operator="lessThanOrEqual" allowBlank="1" showInputMessage="1" showErrorMessage="1" sqref="G117">
      <formula1>1</formula1>
    </dataValidation>
  </dataValidation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
  <sheetViews>
    <sheetView topLeftCell="A37" workbookViewId="0">
      <selection activeCell="C8" sqref="C8"/>
    </sheetView>
  </sheetViews>
  <sheetFormatPr defaultColWidth="8.66666666666667" defaultRowHeight="14"/>
  <sheetData/>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Y121"/>
  <sheetViews>
    <sheetView zoomScale="70" zoomScaleNormal="70" topLeftCell="A79" workbookViewId="0">
      <selection activeCell="D89" sqref="D89"/>
    </sheetView>
  </sheetViews>
  <sheetFormatPr defaultColWidth="8.66666666666667" defaultRowHeight="14"/>
  <cols>
    <col min="1" max="1" width="8.66666666666667" style="32" customWidth="1"/>
    <col min="2" max="3" width="13.1666666666667" style="32" customWidth="1"/>
    <col min="4" max="4" width="12.75" style="32" customWidth="1"/>
    <col min="5" max="10" width="8.66666666666667" style="32" customWidth="1"/>
    <col min="11" max="11" width="13.8333333333333" style="32" customWidth="1"/>
    <col min="12" max="12" width="18.9166666666667" style="32" customWidth="1"/>
    <col min="13" max="13" width="16.4166666666667" style="32" customWidth="1"/>
    <col min="14" max="14" width="13.5833333333333" style="32" customWidth="1"/>
    <col min="15" max="16" width="8.66666666666667" style="32" customWidth="1"/>
    <col min="17" max="17" width="21.3833333333333" style="32" customWidth="1"/>
    <col min="18" max="22" width="8.66666666666667" style="32" customWidth="1"/>
    <col min="23" max="23" width="8.66666666666667" style="33" customWidth="1"/>
    <col min="24" max="24" width="8.66666666666667" style="34" customWidth="1"/>
    <col min="25" max="25" width="10.95" style="32" customWidth="1"/>
    <col min="26" max="26" width="8.66666666666667" style="32" customWidth="1"/>
    <col min="27" max="16384" width="8.66666666666667" style="32"/>
  </cols>
  <sheetData>
    <row r="1" spans="1:24">
      <c r="A1" s="35" t="s">
        <v>574</v>
      </c>
      <c r="B1" s="35" t="s">
        <v>575</v>
      </c>
      <c r="C1" s="35"/>
      <c r="D1" s="35" t="s">
        <v>576</v>
      </c>
      <c r="E1" s="35" t="s">
        <v>577</v>
      </c>
      <c r="F1" s="35" t="s">
        <v>578</v>
      </c>
      <c r="G1" s="35" t="s">
        <v>579</v>
      </c>
      <c r="H1" s="35" t="s">
        <v>580</v>
      </c>
      <c r="I1" s="35" t="s">
        <v>581</v>
      </c>
      <c r="J1" s="35" t="s">
        <v>582</v>
      </c>
      <c r="K1" s="56" t="s">
        <v>583</v>
      </c>
      <c r="L1" s="56" t="s">
        <v>584</v>
      </c>
      <c r="M1" s="56" t="s">
        <v>585</v>
      </c>
      <c r="N1" s="56" t="s">
        <v>586</v>
      </c>
      <c r="O1" s="56" t="s">
        <v>587</v>
      </c>
      <c r="P1" s="56" t="s">
        <v>588</v>
      </c>
      <c r="Q1" s="56" t="s">
        <v>589</v>
      </c>
      <c r="R1" s="32" t="s">
        <v>590</v>
      </c>
      <c r="S1" s="32" t="s">
        <v>591</v>
      </c>
      <c r="T1" s="32" t="s">
        <v>592</v>
      </c>
      <c r="U1" s="32" t="s">
        <v>593</v>
      </c>
      <c r="V1" s="32" t="s">
        <v>594</v>
      </c>
      <c r="W1" s="33" t="s">
        <v>595</v>
      </c>
      <c r="X1" s="34" t="s">
        <v>596</v>
      </c>
    </row>
    <row r="2" ht="28.5" spans="1:23">
      <c r="A2" s="36" t="s">
        <v>597</v>
      </c>
      <c r="B2" s="37">
        <v>7109907</v>
      </c>
      <c r="C2" s="37" t="s">
        <v>598</v>
      </c>
      <c r="D2" s="38">
        <v>6.2</v>
      </c>
      <c r="E2" s="39">
        <v>7.1</v>
      </c>
      <c r="F2" s="39"/>
      <c r="G2" s="39"/>
      <c r="H2" s="39"/>
      <c r="I2" s="39"/>
      <c r="J2" s="39"/>
      <c r="K2" s="57">
        <v>0.1</v>
      </c>
      <c r="L2" s="57">
        <v>0.2</v>
      </c>
      <c r="M2" s="57"/>
      <c r="N2" s="57"/>
      <c r="O2" s="57"/>
      <c r="P2" s="57"/>
      <c r="Q2" s="57"/>
      <c r="W2" s="33" t="s">
        <v>599</v>
      </c>
    </row>
    <row r="3" ht="38" spans="1:23">
      <c r="A3" s="36" t="s">
        <v>600</v>
      </c>
      <c r="B3" s="37">
        <v>7109908</v>
      </c>
      <c r="C3" s="37" t="s">
        <v>598</v>
      </c>
      <c r="D3" s="39">
        <v>7.2</v>
      </c>
      <c r="E3" s="38">
        <v>8.1</v>
      </c>
      <c r="F3" s="39"/>
      <c r="G3" s="39"/>
      <c r="H3" s="39"/>
      <c r="I3" s="39"/>
      <c r="J3" s="39"/>
      <c r="K3" s="57">
        <v>0.1</v>
      </c>
      <c r="L3" s="57">
        <v>0.2</v>
      </c>
      <c r="M3" s="57"/>
      <c r="N3" s="57"/>
      <c r="O3" s="57"/>
      <c r="P3" s="57"/>
      <c r="Q3" s="57"/>
      <c r="W3" s="33" t="s">
        <v>599</v>
      </c>
    </row>
    <row r="4" ht="28.5" spans="1:23">
      <c r="A4" s="36" t="s">
        <v>601</v>
      </c>
      <c r="B4" s="37">
        <v>8403402</v>
      </c>
      <c r="C4" s="37" t="s">
        <v>598</v>
      </c>
      <c r="D4" s="39">
        <v>3.4</v>
      </c>
      <c r="E4" s="39">
        <v>7.1</v>
      </c>
      <c r="F4" s="39">
        <v>8.2</v>
      </c>
      <c r="G4" s="39"/>
      <c r="H4" s="39"/>
      <c r="I4" s="39"/>
      <c r="J4" s="39"/>
      <c r="K4" s="57">
        <v>0.1</v>
      </c>
      <c r="L4" s="57">
        <v>0.2</v>
      </c>
      <c r="M4" s="57">
        <v>0.2</v>
      </c>
      <c r="N4" s="57"/>
      <c r="O4" s="57"/>
      <c r="P4" s="57"/>
      <c r="Q4" s="57"/>
      <c r="W4" s="33" t="s">
        <v>599</v>
      </c>
    </row>
    <row r="5" ht="28" spans="1:23">
      <c r="A5" s="36" t="s">
        <v>602</v>
      </c>
      <c r="B5" s="37">
        <v>7703503</v>
      </c>
      <c r="C5" s="37" t="s">
        <v>598</v>
      </c>
      <c r="D5" s="38">
        <v>8.1</v>
      </c>
      <c r="E5" s="39"/>
      <c r="F5" s="39"/>
      <c r="G5" s="39"/>
      <c r="H5" s="39"/>
      <c r="I5" s="39"/>
      <c r="J5" s="39"/>
      <c r="K5" s="57">
        <v>0.1</v>
      </c>
      <c r="L5" s="57"/>
      <c r="M5" s="57"/>
      <c r="N5" s="57"/>
      <c r="O5" s="57"/>
      <c r="P5" s="57"/>
      <c r="Q5" s="57"/>
      <c r="W5" s="33" t="s">
        <v>599</v>
      </c>
    </row>
    <row r="6" ht="28" spans="1:23">
      <c r="A6" s="36" t="s">
        <v>603</v>
      </c>
      <c r="B6" s="37">
        <v>840996066</v>
      </c>
      <c r="C6" s="37" t="s">
        <v>598</v>
      </c>
      <c r="D6" s="39">
        <v>7.1</v>
      </c>
      <c r="E6" s="39">
        <v>10.2</v>
      </c>
      <c r="F6" s="39">
        <v>12.1</v>
      </c>
      <c r="G6" s="39"/>
      <c r="H6" s="39"/>
      <c r="I6" s="39"/>
      <c r="J6" s="39"/>
      <c r="K6" s="57">
        <v>0.2</v>
      </c>
      <c r="L6" s="57">
        <v>0.2</v>
      </c>
      <c r="M6" s="57">
        <v>0.1</v>
      </c>
      <c r="N6" s="57"/>
      <c r="O6" s="57"/>
      <c r="P6" s="57"/>
      <c r="Q6" s="57"/>
      <c r="W6" s="33" t="s">
        <v>599</v>
      </c>
    </row>
    <row r="7" ht="28.5" spans="1:23">
      <c r="A7" s="40" t="s">
        <v>604</v>
      </c>
      <c r="B7" s="37">
        <v>8402711</v>
      </c>
      <c r="C7" s="37" t="s">
        <v>598</v>
      </c>
      <c r="D7" s="39">
        <v>8.2</v>
      </c>
      <c r="E7" s="39">
        <v>12.2</v>
      </c>
      <c r="F7" s="39"/>
      <c r="G7" s="39"/>
      <c r="H7" s="39"/>
      <c r="I7" s="39"/>
      <c r="J7" s="39"/>
      <c r="K7" s="57">
        <v>0.1</v>
      </c>
      <c r="L7" s="57">
        <v>0.1</v>
      </c>
      <c r="M7" s="57"/>
      <c r="N7" s="57"/>
      <c r="O7" s="57"/>
      <c r="P7" s="57"/>
      <c r="Q7" s="57"/>
      <c r="W7" s="33" t="s">
        <v>599</v>
      </c>
    </row>
    <row r="8" ht="28" spans="1:23">
      <c r="A8" s="40" t="s">
        <v>605</v>
      </c>
      <c r="B8" s="37">
        <v>1807412</v>
      </c>
      <c r="C8" s="37" t="s">
        <v>598</v>
      </c>
      <c r="D8" s="39">
        <v>10.2</v>
      </c>
      <c r="E8" s="39">
        <v>12.1</v>
      </c>
      <c r="F8" s="39"/>
      <c r="G8" s="39"/>
      <c r="H8" s="39"/>
      <c r="I8" s="39"/>
      <c r="J8" s="39"/>
      <c r="K8" s="57">
        <v>0.1</v>
      </c>
      <c r="L8" s="57">
        <v>0.1</v>
      </c>
      <c r="M8" s="57"/>
      <c r="N8" s="57"/>
      <c r="O8" s="57"/>
      <c r="P8" s="57"/>
      <c r="Q8" s="57"/>
      <c r="W8" s="33" t="s">
        <v>599</v>
      </c>
    </row>
    <row r="9" ht="28" spans="1:23">
      <c r="A9" s="40" t="s">
        <v>606</v>
      </c>
      <c r="B9" s="37">
        <v>8401706</v>
      </c>
      <c r="C9" s="37" t="s">
        <v>598</v>
      </c>
      <c r="D9" s="38">
        <v>6.2</v>
      </c>
      <c r="E9" s="38">
        <v>8.1</v>
      </c>
      <c r="F9" s="39">
        <v>10.2</v>
      </c>
      <c r="G9" s="39"/>
      <c r="H9" s="39"/>
      <c r="I9" s="39"/>
      <c r="J9" s="39"/>
      <c r="K9" s="57">
        <v>0.1</v>
      </c>
      <c r="L9" s="57">
        <v>0.2</v>
      </c>
      <c r="M9" s="57">
        <v>0.1</v>
      </c>
      <c r="N9" s="57"/>
      <c r="O9" s="57"/>
      <c r="P9" s="57"/>
      <c r="Q9" s="57"/>
      <c r="W9" s="33" t="s">
        <v>599</v>
      </c>
    </row>
    <row r="10" ht="28" spans="1:23">
      <c r="A10" s="40" t="s">
        <v>607</v>
      </c>
      <c r="B10" s="37">
        <v>8409949</v>
      </c>
      <c r="C10" s="37" t="s">
        <v>598</v>
      </c>
      <c r="D10" s="39">
        <v>12.1</v>
      </c>
      <c r="E10" s="39"/>
      <c r="F10" s="39"/>
      <c r="G10" s="39"/>
      <c r="H10" s="39"/>
      <c r="I10" s="39"/>
      <c r="J10" s="39"/>
      <c r="K10" s="57">
        <v>0.2</v>
      </c>
      <c r="L10" s="57"/>
      <c r="M10" s="57"/>
      <c r="N10" s="57"/>
      <c r="O10" s="57"/>
      <c r="P10" s="57"/>
      <c r="Q10" s="57"/>
      <c r="W10" s="33" t="s">
        <v>599</v>
      </c>
    </row>
    <row r="11" ht="28" spans="1:23">
      <c r="A11" s="36" t="s">
        <v>608</v>
      </c>
      <c r="B11" s="37">
        <v>8309902</v>
      </c>
      <c r="C11" s="37" t="s">
        <v>598</v>
      </c>
      <c r="D11" s="38">
        <v>8.1</v>
      </c>
      <c r="E11" s="39">
        <v>9.1</v>
      </c>
      <c r="F11" s="39"/>
      <c r="G11" s="39"/>
      <c r="H11" s="39"/>
      <c r="I11" s="39"/>
      <c r="J11" s="39"/>
      <c r="K11" s="57">
        <v>0.1</v>
      </c>
      <c r="L11" s="57">
        <v>0.1</v>
      </c>
      <c r="M11" s="57"/>
      <c r="N11" s="57"/>
      <c r="O11" s="57"/>
      <c r="P11" s="57"/>
      <c r="Q11" s="57"/>
      <c r="W11" s="33" t="s">
        <v>599</v>
      </c>
    </row>
    <row r="12" ht="28.5" spans="1:23">
      <c r="A12" s="36" t="s">
        <v>609</v>
      </c>
      <c r="B12" s="37">
        <v>890992831</v>
      </c>
      <c r="C12" s="37" t="s">
        <v>598</v>
      </c>
      <c r="D12" s="39">
        <v>8.3</v>
      </c>
      <c r="E12" s="39">
        <v>9.3</v>
      </c>
      <c r="F12" s="39">
        <v>12.1</v>
      </c>
      <c r="G12" s="39"/>
      <c r="H12" s="39"/>
      <c r="I12" s="39"/>
      <c r="J12" s="39"/>
      <c r="K12" s="57">
        <v>0.1</v>
      </c>
      <c r="L12" s="57">
        <v>0.1</v>
      </c>
      <c r="M12" s="57">
        <v>0.2</v>
      </c>
      <c r="N12" s="57"/>
      <c r="O12" s="57"/>
      <c r="P12" s="57"/>
      <c r="Q12" s="57"/>
      <c r="W12" s="33" t="s">
        <v>599</v>
      </c>
    </row>
    <row r="13" ht="28" spans="1:23">
      <c r="A13" s="36" t="s">
        <v>610</v>
      </c>
      <c r="B13" s="37">
        <v>1000000</v>
      </c>
      <c r="C13" s="37" t="s">
        <v>598</v>
      </c>
      <c r="D13" s="39">
        <v>3.3</v>
      </c>
      <c r="E13" s="38">
        <v>6.2</v>
      </c>
      <c r="F13" s="39">
        <v>9.3</v>
      </c>
      <c r="G13" s="39">
        <v>11.2</v>
      </c>
      <c r="H13" s="39"/>
      <c r="I13" s="39"/>
      <c r="J13" s="39"/>
      <c r="K13" s="57">
        <v>0.2</v>
      </c>
      <c r="L13" s="57">
        <v>0.1</v>
      </c>
      <c r="M13" s="57">
        <v>0.2</v>
      </c>
      <c r="N13" s="57">
        <v>0.2</v>
      </c>
      <c r="O13" s="57"/>
      <c r="P13" s="57"/>
      <c r="Q13" s="57"/>
      <c r="W13" s="33" t="s">
        <v>599</v>
      </c>
    </row>
    <row r="14" ht="28" spans="1:23">
      <c r="A14" s="36" t="s">
        <v>611</v>
      </c>
      <c r="B14" s="37">
        <v>740514244</v>
      </c>
      <c r="C14" s="37" t="s">
        <v>598</v>
      </c>
      <c r="D14" s="39">
        <v>10.3</v>
      </c>
      <c r="E14" s="39">
        <v>12.2</v>
      </c>
      <c r="F14" s="39"/>
      <c r="G14" s="39"/>
      <c r="H14" s="39"/>
      <c r="I14" s="39"/>
      <c r="J14" s="39"/>
      <c r="K14" s="57">
        <v>0.3</v>
      </c>
      <c r="L14" s="57">
        <v>0.2</v>
      </c>
      <c r="M14" s="57"/>
      <c r="N14" s="57"/>
      <c r="O14" s="57"/>
      <c r="P14" s="57"/>
      <c r="Q14" s="57"/>
      <c r="W14" s="33" t="s">
        <v>599</v>
      </c>
    </row>
    <row r="15" ht="28" spans="1:24">
      <c r="A15" s="36" t="s">
        <v>612</v>
      </c>
      <c r="B15" s="37">
        <v>5201041</v>
      </c>
      <c r="C15" s="37" t="s">
        <v>598</v>
      </c>
      <c r="D15" s="38">
        <v>6.1</v>
      </c>
      <c r="E15" s="39">
        <v>10.1</v>
      </c>
      <c r="F15" s="39">
        <v>10.3</v>
      </c>
      <c r="G15" s="39"/>
      <c r="H15" s="39"/>
      <c r="I15" s="39"/>
      <c r="J15" s="39"/>
      <c r="K15" s="57">
        <v>0.1</v>
      </c>
      <c r="L15" s="57">
        <v>0.2</v>
      </c>
      <c r="M15" s="57">
        <v>0.1</v>
      </c>
      <c r="N15" s="57"/>
      <c r="O15" s="57"/>
      <c r="P15" s="57"/>
      <c r="Q15" s="57"/>
      <c r="R15" s="60">
        <v>1</v>
      </c>
      <c r="S15" s="60">
        <v>32</v>
      </c>
      <c r="T15" s="60"/>
      <c r="U15" s="60"/>
      <c r="V15" s="60"/>
      <c r="W15" s="33" t="s">
        <v>599</v>
      </c>
      <c r="X15" s="61"/>
    </row>
    <row r="16" s="31" customFormat="1" ht="28.75" spans="1:25">
      <c r="A16" s="41" t="s">
        <v>613</v>
      </c>
      <c r="B16" s="42">
        <v>5209962</v>
      </c>
      <c r="C16" s="42" t="s">
        <v>598</v>
      </c>
      <c r="D16" s="43">
        <v>6.1</v>
      </c>
      <c r="E16" s="44">
        <v>10.1</v>
      </c>
      <c r="F16" s="44">
        <v>10.3</v>
      </c>
      <c r="G16" s="44"/>
      <c r="H16" s="44"/>
      <c r="I16" s="44"/>
      <c r="J16" s="44"/>
      <c r="K16" s="58">
        <v>0.1</v>
      </c>
      <c r="L16" s="58">
        <v>0.2</v>
      </c>
      <c r="M16" s="58">
        <v>0.1</v>
      </c>
      <c r="N16" s="58"/>
      <c r="O16" s="58"/>
      <c r="P16" s="58"/>
      <c r="Q16" s="58"/>
      <c r="R16" s="58">
        <v>1</v>
      </c>
      <c r="S16" s="58">
        <v>32</v>
      </c>
      <c r="T16" s="58"/>
      <c r="U16" s="58"/>
      <c r="V16" s="58"/>
      <c r="W16" s="33" t="s">
        <v>599</v>
      </c>
      <c r="X16" s="61"/>
      <c r="Y16" s="31" t="s">
        <v>614</v>
      </c>
    </row>
    <row r="17" ht="28.75" spans="1:24">
      <c r="A17" s="36" t="s">
        <v>615</v>
      </c>
      <c r="B17" s="45">
        <v>1101450</v>
      </c>
      <c r="C17" s="37" t="s">
        <v>598</v>
      </c>
      <c r="D17" s="39">
        <v>1.1</v>
      </c>
      <c r="E17" s="39">
        <v>1.2</v>
      </c>
      <c r="F17" s="38">
        <v>2.1</v>
      </c>
      <c r="G17" s="38">
        <v>4.4</v>
      </c>
      <c r="H17" s="39">
        <v>12.2</v>
      </c>
      <c r="I17" s="39"/>
      <c r="J17" s="39"/>
      <c r="K17" s="57">
        <v>0.1</v>
      </c>
      <c r="L17" s="57">
        <v>0.1</v>
      </c>
      <c r="M17" s="57">
        <v>0.1</v>
      </c>
      <c r="N17" s="57">
        <v>0.1</v>
      </c>
      <c r="O17" s="57">
        <v>0.1</v>
      </c>
      <c r="P17" s="57"/>
      <c r="Q17" s="57"/>
      <c r="R17" s="62">
        <v>4</v>
      </c>
      <c r="S17" s="63">
        <v>64</v>
      </c>
      <c r="T17" s="64"/>
      <c r="U17" s="64"/>
      <c r="V17" s="64"/>
      <c r="W17" s="33" t="s">
        <v>599</v>
      </c>
      <c r="X17" s="65"/>
    </row>
    <row r="18" ht="28.75" spans="1:24">
      <c r="A18" s="36" t="s">
        <v>616</v>
      </c>
      <c r="B18" s="46">
        <v>1101460</v>
      </c>
      <c r="C18" s="37" t="s">
        <v>598</v>
      </c>
      <c r="D18" s="39">
        <v>1.1</v>
      </c>
      <c r="E18" s="39">
        <v>1.2</v>
      </c>
      <c r="F18" s="38">
        <v>2.1</v>
      </c>
      <c r="G18" s="38">
        <v>4.4</v>
      </c>
      <c r="H18" s="39">
        <v>12.2</v>
      </c>
      <c r="I18" s="39"/>
      <c r="J18" s="39"/>
      <c r="K18" s="57">
        <v>0.1</v>
      </c>
      <c r="L18" s="57">
        <v>0.2</v>
      </c>
      <c r="M18" s="57">
        <v>0.1</v>
      </c>
      <c r="N18" s="57">
        <v>0.1</v>
      </c>
      <c r="O18" s="57">
        <v>0.1</v>
      </c>
      <c r="P18" s="57"/>
      <c r="Q18" s="57"/>
      <c r="R18" s="62">
        <v>4</v>
      </c>
      <c r="S18" s="63">
        <v>64</v>
      </c>
      <c r="T18" s="64"/>
      <c r="U18" s="64"/>
      <c r="V18" s="64"/>
      <c r="W18" s="33" t="s">
        <v>599</v>
      </c>
      <c r="X18" s="65"/>
    </row>
    <row r="19" ht="28.75" spans="1:24">
      <c r="A19" s="36" t="s">
        <v>617</v>
      </c>
      <c r="B19" s="45">
        <v>1106411</v>
      </c>
      <c r="C19" s="37" t="s">
        <v>598</v>
      </c>
      <c r="D19" s="39">
        <v>1.1</v>
      </c>
      <c r="E19" s="39">
        <v>1.2</v>
      </c>
      <c r="F19" s="39">
        <v>1.4</v>
      </c>
      <c r="G19" s="39">
        <v>2.4</v>
      </c>
      <c r="H19" s="38">
        <v>4.4</v>
      </c>
      <c r="I19" s="39"/>
      <c r="J19" s="39"/>
      <c r="K19" s="57">
        <v>0.1</v>
      </c>
      <c r="L19" s="57">
        <v>0.2</v>
      </c>
      <c r="M19" s="57">
        <v>0.2</v>
      </c>
      <c r="N19" s="57">
        <v>0.1</v>
      </c>
      <c r="O19" s="57">
        <v>0.1</v>
      </c>
      <c r="P19" s="57"/>
      <c r="Q19" s="57"/>
      <c r="R19" s="62">
        <v>3</v>
      </c>
      <c r="S19" s="63">
        <v>48</v>
      </c>
      <c r="T19" s="64"/>
      <c r="U19" s="64"/>
      <c r="V19" s="64"/>
      <c r="W19" s="33" t="s">
        <v>599</v>
      </c>
      <c r="X19" s="65"/>
    </row>
    <row r="20" s="31" customFormat="1" ht="28.75" spans="1:25">
      <c r="A20" s="41" t="s">
        <v>618</v>
      </c>
      <c r="B20" s="33">
        <v>1106401</v>
      </c>
      <c r="C20" s="37" t="s">
        <v>598</v>
      </c>
      <c r="D20" s="39">
        <v>1.1</v>
      </c>
      <c r="E20" s="39">
        <v>1.2</v>
      </c>
      <c r="F20" s="39">
        <v>1.4</v>
      </c>
      <c r="G20" s="44"/>
      <c r="H20" s="43"/>
      <c r="I20" s="44"/>
      <c r="J20" s="44"/>
      <c r="K20" s="58">
        <v>0.1</v>
      </c>
      <c r="L20" s="58">
        <v>0.1</v>
      </c>
      <c r="M20" s="58">
        <v>0.1</v>
      </c>
      <c r="N20" s="58"/>
      <c r="O20" s="58"/>
      <c r="P20" s="58"/>
      <c r="Q20" s="58"/>
      <c r="R20" s="66">
        <v>2</v>
      </c>
      <c r="S20" s="67">
        <v>32</v>
      </c>
      <c r="T20" s="68"/>
      <c r="U20" s="68"/>
      <c r="V20" s="68"/>
      <c r="W20" s="33" t="s">
        <v>599</v>
      </c>
      <c r="X20" s="65"/>
      <c r="Y20" s="31" t="s">
        <v>619</v>
      </c>
    </row>
    <row r="21" s="31" customFormat="1" ht="28.75" spans="1:25">
      <c r="A21" s="41" t="s">
        <v>620</v>
      </c>
      <c r="B21" s="33">
        <v>9109916</v>
      </c>
      <c r="C21" s="37" t="s">
        <v>598</v>
      </c>
      <c r="D21" s="39">
        <v>1.2</v>
      </c>
      <c r="E21" s="39">
        <v>1.4</v>
      </c>
      <c r="F21" s="39">
        <v>2.4</v>
      </c>
      <c r="G21" s="38">
        <v>4.4</v>
      </c>
      <c r="I21" s="44"/>
      <c r="J21" s="44"/>
      <c r="K21" s="58">
        <v>0.1</v>
      </c>
      <c r="L21" s="58">
        <v>0.1</v>
      </c>
      <c r="M21" s="58">
        <v>0.1</v>
      </c>
      <c r="N21" s="58">
        <v>0.1</v>
      </c>
      <c r="P21" s="58"/>
      <c r="Q21" s="58"/>
      <c r="R21" s="66">
        <v>2</v>
      </c>
      <c r="S21" s="67">
        <v>32</v>
      </c>
      <c r="T21" s="68"/>
      <c r="U21" s="68"/>
      <c r="V21" s="68"/>
      <c r="W21" s="33" t="s">
        <v>599</v>
      </c>
      <c r="X21" s="65"/>
      <c r="Y21" s="31" t="s">
        <v>621</v>
      </c>
    </row>
    <row r="22" ht="28.75" spans="1:24">
      <c r="A22" s="36" t="s">
        <v>622</v>
      </c>
      <c r="B22" s="45">
        <v>1102129</v>
      </c>
      <c r="C22" s="37" t="s">
        <v>598</v>
      </c>
      <c r="D22" s="39">
        <v>1.1</v>
      </c>
      <c r="E22" s="39">
        <v>1.2</v>
      </c>
      <c r="F22" s="38">
        <v>2.2</v>
      </c>
      <c r="G22" s="38">
        <v>4.4</v>
      </c>
      <c r="H22" s="39"/>
      <c r="I22" s="39"/>
      <c r="J22" s="39"/>
      <c r="K22" s="57">
        <v>0.2</v>
      </c>
      <c r="L22" s="57">
        <v>0.2</v>
      </c>
      <c r="M22" s="57">
        <v>0.2</v>
      </c>
      <c r="N22" s="57">
        <v>0.1</v>
      </c>
      <c r="O22" s="57"/>
      <c r="P22" s="57"/>
      <c r="Q22" s="57"/>
      <c r="R22" s="62">
        <v>3</v>
      </c>
      <c r="S22" s="63">
        <v>48</v>
      </c>
      <c r="T22" s="64"/>
      <c r="U22" s="64"/>
      <c r="V22" s="64"/>
      <c r="W22" s="33" t="s">
        <v>599</v>
      </c>
      <c r="X22" s="65"/>
    </row>
    <row r="23" ht="28.75" spans="1:24">
      <c r="A23" s="36" t="s">
        <v>623</v>
      </c>
      <c r="B23" s="45">
        <v>1409917</v>
      </c>
      <c r="C23" s="37" t="s">
        <v>598</v>
      </c>
      <c r="D23" s="39">
        <v>1.1</v>
      </c>
      <c r="E23" s="38">
        <v>2.1</v>
      </c>
      <c r="F23" s="38">
        <v>4.1</v>
      </c>
      <c r="G23" s="39">
        <v>5.3</v>
      </c>
      <c r="H23" s="39"/>
      <c r="I23" s="39"/>
      <c r="J23" s="39"/>
      <c r="K23" s="57">
        <v>0.1</v>
      </c>
      <c r="L23" s="57">
        <v>0.2</v>
      </c>
      <c r="M23" s="57">
        <v>0.1</v>
      </c>
      <c r="N23" s="57">
        <v>0.1</v>
      </c>
      <c r="O23" s="57"/>
      <c r="P23" s="57"/>
      <c r="Q23" s="57"/>
      <c r="R23" s="62">
        <v>3</v>
      </c>
      <c r="S23" s="63">
        <v>48</v>
      </c>
      <c r="T23" s="64"/>
      <c r="U23" s="64"/>
      <c r="V23" s="64"/>
      <c r="W23" s="33" t="s">
        <v>599</v>
      </c>
      <c r="X23" s="65"/>
    </row>
    <row r="24" ht="28.75" spans="1:24">
      <c r="A24" s="36" t="s">
        <v>624</v>
      </c>
      <c r="B24" s="45">
        <v>1108104</v>
      </c>
      <c r="C24" s="37" t="s">
        <v>598</v>
      </c>
      <c r="D24" s="39">
        <v>1.1</v>
      </c>
      <c r="E24" s="38">
        <v>2.2</v>
      </c>
      <c r="F24" s="38">
        <v>4.1</v>
      </c>
      <c r="G24" s="39">
        <v>12.1</v>
      </c>
      <c r="H24" s="39"/>
      <c r="I24" s="39"/>
      <c r="J24" s="39"/>
      <c r="K24" s="57">
        <v>0.1</v>
      </c>
      <c r="L24" s="57">
        <v>0.2</v>
      </c>
      <c r="M24" s="57">
        <v>0.2</v>
      </c>
      <c r="N24" s="57">
        <v>0.1</v>
      </c>
      <c r="O24" s="57"/>
      <c r="P24" s="57"/>
      <c r="Q24" s="57"/>
      <c r="R24" s="62">
        <v>3</v>
      </c>
      <c r="S24" s="63">
        <v>48</v>
      </c>
      <c r="T24" s="64"/>
      <c r="U24" s="64"/>
      <c r="V24" s="64"/>
      <c r="W24" s="33" t="s">
        <v>599</v>
      </c>
      <c r="X24" s="65"/>
    </row>
    <row r="25" ht="28.75" spans="1:24">
      <c r="A25" s="36" t="s">
        <v>625</v>
      </c>
      <c r="B25" s="45">
        <v>5208070</v>
      </c>
      <c r="C25" s="37" t="s">
        <v>598</v>
      </c>
      <c r="D25" s="38">
        <v>2.2</v>
      </c>
      <c r="E25" s="39">
        <v>3.3</v>
      </c>
      <c r="F25" s="38">
        <v>4.4</v>
      </c>
      <c r="G25" s="39"/>
      <c r="H25" s="39"/>
      <c r="I25" s="39"/>
      <c r="J25" s="39"/>
      <c r="K25" s="57">
        <v>0.2</v>
      </c>
      <c r="L25" s="57">
        <v>0.2</v>
      </c>
      <c r="M25" s="57">
        <v>0.1</v>
      </c>
      <c r="N25" s="57"/>
      <c r="O25" s="57"/>
      <c r="P25" s="57"/>
      <c r="Q25" s="57"/>
      <c r="R25" s="69">
        <v>3</v>
      </c>
      <c r="S25" s="70">
        <v>48</v>
      </c>
      <c r="T25" s="64"/>
      <c r="U25" s="64"/>
      <c r="V25" s="64"/>
      <c r="W25" s="33" t="s">
        <v>599</v>
      </c>
      <c r="X25" s="65"/>
    </row>
    <row r="26" ht="28.75" spans="1:24">
      <c r="A26" s="36" t="s">
        <v>626</v>
      </c>
      <c r="B26" s="45">
        <v>5204210</v>
      </c>
      <c r="C26" s="37" t="s">
        <v>598</v>
      </c>
      <c r="D26" s="39">
        <v>2.2</v>
      </c>
      <c r="E26" s="39">
        <v>3.2</v>
      </c>
      <c r="F26" s="39">
        <v>8.2</v>
      </c>
      <c r="G26" s="39">
        <v>12.2</v>
      </c>
      <c r="H26" s="39"/>
      <c r="I26" s="39"/>
      <c r="J26" s="39"/>
      <c r="K26" s="57">
        <v>0.2</v>
      </c>
      <c r="L26" s="57">
        <v>0.2</v>
      </c>
      <c r="M26" s="57">
        <v>0.2</v>
      </c>
      <c r="N26" s="57">
        <v>0.2</v>
      </c>
      <c r="O26" s="57"/>
      <c r="P26" s="57"/>
      <c r="Q26" s="57"/>
      <c r="R26" s="62">
        <v>3</v>
      </c>
      <c r="S26" s="63">
        <v>48</v>
      </c>
      <c r="T26" s="64"/>
      <c r="U26" s="64"/>
      <c r="V26" s="64"/>
      <c r="W26" s="33" t="s">
        <v>599</v>
      </c>
      <c r="X26" s="65"/>
    </row>
    <row r="27" ht="28.75" spans="1:24">
      <c r="A27" s="36" t="s">
        <v>627</v>
      </c>
      <c r="B27" s="45">
        <v>5204211</v>
      </c>
      <c r="C27" s="37" t="s">
        <v>598</v>
      </c>
      <c r="D27" s="38">
        <v>2.2</v>
      </c>
      <c r="E27" s="39">
        <v>3.1</v>
      </c>
      <c r="F27" s="39">
        <v>5.2</v>
      </c>
      <c r="G27" s="39">
        <v>9.2</v>
      </c>
      <c r="H27" s="39"/>
      <c r="I27" s="39"/>
      <c r="J27" s="39"/>
      <c r="K27" s="57">
        <v>0.1</v>
      </c>
      <c r="L27" s="57">
        <v>0.1</v>
      </c>
      <c r="M27" s="57">
        <v>0.1</v>
      </c>
      <c r="N27" s="57">
        <v>0.1</v>
      </c>
      <c r="O27" s="57"/>
      <c r="P27" s="57"/>
      <c r="Q27" s="57"/>
      <c r="R27" s="62">
        <v>2.5</v>
      </c>
      <c r="S27" s="63">
        <v>48</v>
      </c>
      <c r="T27" s="64"/>
      <c r="U27" s="64"/>
      <c r="V27" s="64"/>
      <c r="W27" s="33" t="s">
        <v>599</v>
      </c>
      <c r="X27" s="65"/>
    </row>
    <row r="28" ht="28.75" spans="1:24">
      <c r="A28" s="36" t="s">
        <v>628</v>
      </c>
      <c r="B28" s="45">
        <v>5208002</v>
      </c>
      <c r="C28" s="37" t="s">
        <v>598</v>
      </c>
      <c r="D28" s="39">
        <v>3.1</v>
      </c>
      <c r="E28" s="39">
        <v>5.3</v>
      </c>
      <c r="F28" s="39">
        <v>9.3</v>
      </c>
      <c r="G28" s="39">
        <v>11.1</v>
      </c>
      <c r="H28" s="39"/>
      <c r="I28" s="39"/>
      <c r="J28" s="39"/>
      <c r="K28" s="57">
        <v>0.1</v>
      </c>
      <c r="L28" s="57">
        <v>0.1</v>
      </c>
      <c r="M28" s="57">
        <v>0.2</v>
      </c>
      <c r="N28" s="57">
        <v>0.2</v>
      </c>
      <c r="O28" s="57"/>
      <c r="P28" s="57"/>
      <c r="Q28" s="57"/>
      <c r="R28" s="62">
        <v>2</v>
      </c>
      <c r="S28" s="63">
        <v>32</v>
      </c>
      <c r="T28" s="64"/>
      <c r="U28" s="64"/>
      <c r="V28" s="64"/>
      <c r="W28" s="33" t="s">
        <v>599</v>
      </c>
      <c r="X28" s="65"/>
    </row>
    <row r="29" ht="28.75" spans="1:24">
      <c r="A29" s="36" t="s">
        <v>629</v>
      </c>
      <c r="B29" s="45">
        <v>5208029</v>
      </c>
      <c r="C29" s="37" t="s">
        <v>598</v>
      </c>
      <c r="D29" s="39">
        <v>1.3</v>
      </c>
      <c r="E29" s="38">
        <v>4.1</v>
      </c>
      <c r="F29" s="39">
        <v>11.2</v>
      </c>
      <c r="G29" s="39"/>
      <c r="H29" s="39"/>
      <c r="I29" s="39"/>
      <c r="J29" s="39"/>
      <c r="K29" s="57">
        <v>0.2</v>
      </c>
      <c r="L29" s="57">
        <v>0.1</v>
      </c>
      <c r="M29" s="57">
        <v>0.1</v>
      </c>
      <c r="N29" s="57"/>
      <c r="O29" s="57"/>
      <c r="P29" s="57"/>
      <c r="Q29" s="57"/>
      <c r="R29" s="62">
        <v>3.5</v>
      </c>
      <c r="S29" s="63">
        <v>64</v>
      </c>
      <c r="T29" s="64"/>
      <c r="U29" s="64"/>
      <c r="V29" s="64"/>
      <c r="W29" s="33" t="s">
        <v>599</v>
      </c>
      <c r="X29" s="65"/>
    </row>
    <row r="30" ht="28.75" spans="1:24">
      <c r="A30" s="36" t="s">
        <v>630</v>
      </c>
      <c r="B30" s="47">
        <v>5208072</v>
      </c>
      <c r="C30" s="37" t="s">
        <v>598</v>
      </c>
      <c r="D30" s="39">
        <v>2.2</v>
      </c>
      <c r="E30" s="39">
        <v>3.1</v>
      </c>
      <c r="F30" s="39">
        <v>5.1</v>
      </c>
      <c r="G30" s="39"/>
      <c r="H30" s="39"/>
      <c r="I30" s="39"/>
      <c r="J30" s="39"/>
      <c r="K30" s="57">
        <v>0.1</v>
      </c>
      <c r="L30" s="57">
        <v>0.2</v>
      </c>
      <c r="M30" s="57">
        <v>0.2</v>
      </c>
      <c r="N30" s="57"/>
      <c r="O30" s="57"/>
      <c r="P30" s="57"/>
      <c r="Q30" s="57"/>
      <c r="R30" s="62">
        <v>3</v>
      </c>
      <c r="S30" s="63">
        <v>48</v>
      </c>
      <c r="T30" s="64"/>
      <c r="U30" s="64"/>
      <c r="V30" s="64"/>
      <c r="W30" s="33" t="s">
        <v>599</v>
      </c>
      <c r="X30" s="65"/>
    </row>
    <row r="31" ht="28.75" spans="1:24">
      <c r="A31" s="36" t="s">
        <v>631</v>
      </c>
      <c r="B31" s="48">
        <v>5208007</v>
      </c>
      <c r="C31" s="37" t="s">
        <v>598</v>
      </c>
      <c r="D31" s="39">
        <v>1.3</v>
      </c>
      <c r="E31" s="38">
        <v>4.4</v>
      </c>
      <c r="F31" s="38">
        <v>6.1</v>
      </c>
      <c r="G31" s="39">
        <v>8.2</v>
      </c>
      <c r="H31" s="39"/>
      <c r="I31" s="39"/>
      <c r="J31" s="39"/>
      <c r="K31" s="57">
        <v>0.1</v>
      </c>
      <c r="L31" s="57">
        <v>0.1</v>
      </c>
      <c r="M31" s="57">
        <v>0.1</v>
      </c>
      <c r="N31" s="57">
        <v>0.1</v>
      </c>
      <c r="O31" s="57"/>
      <c r="P31" s="57"/>
      <c r="Q31" s="57"/>
      <c r="R31" s="69">
        <v>3</v>
      </c>
      <c r="S31" s="70">
        <v>48</v>
      </c>
      <c r="T31" s="64"/>
      <c r="U31" s="64"/>
      <c r="V31" s="64"/>
      <c r="W31" s="33" t="s">
        <v>599</v>
      </c>
      <c r="X31" s="65"/>
    </row>
    <row r="32" ht="28.75" spans="1:24">
      <c r="A32" s="36" t="s">
        <v>632</v>
      </c>
      <c r="B32" s="48">
        <v>5208025</v>
      </c>
      <c r="C32" s="37" t="s">
        <v>598</v>
      </c>
      <c r="D32" s="39">
        <v>1.4</v>
      </c>
      <c r="E32" s="39">
        <v>5.1</v>
      </c>
      <c r="F32" s="39">
        <v>8.2</v>
      </c>
      <c r="G32" s="39"/>
      <c r="H32" s="39"/>
      <c r="I32" s="39"/>
      <c r="J32" s="39"/>
      <c r="K32" s="57">
        <v>0.2</v>
      </c>
      <c r="L32" s="57">
        <v>0.1</v>
      </c>
      <c r="M32" s="57">
        <v>0.1</v>
      </c>
      <c r="N32" s="57"/>
      <c r="O32" s="57"/>
      <c r="P32" s="57"/>
      <c r="Q32" s="57"/>
      <c r="R32" s="69">
        <v>3</v>
      </c>
      <c r="S32" s="70">
        <v>48</v>
      </c>
      <c r="T32" s="64"/>
      <c r="U32" s="64"/>
      <c r="V32" s="64"/>
      <c r="W32" s="33" t="s">
        <v>599</v>
      </c>
      <c r="X32" s="65"/>
    </row>
    <row r="33" ht="29.25" spans="1:24">
      <c r="A33" s="36" t="s">
        <v>633</v>
      </c>
      <c r="B33" s="45">
        <v>5208301</v>
      </c>
      <c r="C33" s="37" t="s">
        <v>598</v>
      </c>
      <c r="D33" s="39">
        <v>1.1</v>
      </c>
      <c r="E33" s="38">
        <v>6.1</v>
      </c>
      <c r="F33" s="39">
        <v>8.3</v>
      </c>
      <c r="G33" s="39">
        <v>11.1</v>
      </c>
      <c r="H33" s="39"/>
      <c r="I33" s="39"/>
      <c r="J33" s="39"/>
      <c r="K33" s="57">
        <v>0.1</v>
      </c>
      <c r="L33" s="57">
        <v>0.1</v>
      </c>
      <c r="M33" s="57">
        <v>0.2</v>
      </c>
      <c r="N33" s="57">
        <v>0.1</v>
      </c>
      <c r="O33" s="57"/>
      <c r="P33" s="57"/>
      <c r="Q33" s="57"/>
      <c r="R33" s="62">
        <v>2</v>
      </c>
      <c r="S33" s="63">
        <v>32</v>
      </c>
      <c r="T33" s="64"/>
      <c r="U33" s="64"/>
      <c r="V33" s="64"/>
      <c r="W33" s="33" t="s">
        <v>599</v>
      </c>
      <c r="X33" s="65"/>
    </row>
    <row r="34" ht="28.75" spans="1:24">
      <c r="A34" s="36" t="s">
        <v>634</v>
      </c>
      <c r="B34" s="45">
        <v>5208311</v>
      </c>
      <c r="C34" s="37" t="s">
        <v>598</v>
      </c>
      <c r="D34" s="39">
        <v>1.2</v>
      </c>
      <c r="E34" s="39">
        <v>2.4</v>
      </c>
      <c r="F34" s="39">
        <v>3.3</v>
      </c>
      <c r="G34" s="38">
        <v>4.1</v>
      </c>
      <c r="H34" s="38">
        <v>4.4</v>
      </c>
      <c r="I34" s="39"/>
      <c r="J34" s="39"/>
      <c r="K34" s="57">
        <v>0.2</v>
      </c>
      <c r="L34" s="57">
        <v>0.3</v>
      </c>
      <c r="M34" s="57">
        <v>0.1</v>
      </c>
      <c r="N34" s="57">
        <v>0.2</v>
      </c>
      <c r="O34" s="57">
        <v>0.2</v>
      </c>
      <c r="P34" s="57"/>
      <c r="Q34" s="57"/>
      <c r="R34" s="71">
        <v>2</v>
      </c>
      <c r="S34" s="72">
        <v>32</v>
      </c>
      <c r="T34" s="64"/>
      <c r="U34" s="64"/>
      <c r="V34" s="64"/>
      <c r="W34" s="33" t="s">
        <v>599</v>
      </c>
      <c r="X34" s="65"/>
    </row>
    <row r="35" ht="28.75" spans="1:24">
      <c r="A35" s="36" t="s">
        <v>635</v>
      </c>
      <c r="B35" s="45">
        <v>5208303</v>
      </c>
      <c r="C35" s="37" t="s">
        <v>598</v>
      </c>
      <c r="D35" s="39">
        <v>1.4</v>
      </c>
      <c r="E35" s="38">
        <v>2.2</v>
      </c>
      <c r="F35" s="38">
        <v>6.1</v>
      </c>
      <c r="G35" s="39">
        <v>8.2</v>
      </c>
      <c r="H35" s="39">
        <v>11.3</v>
      </c>
      <c r="I35" s="39"/>
      <c r="J35" s="39"/>
      <c r="K35" s="57">
        <v>0.3</v>
      </c>
      <c r="L35" s="57">
        <v>0.1</v>
      </c>
      <c r="M35" s="57">
        <v>0.1</v>
      </c>
      <c r="N35" s="57">
        <v>0.2</v>
      </c>
      <c r="O35" s="57">
        <v>0.1</v>
      </c>
      <c r="P35" s="57"/>
      <c r="Q35" s="57"/>
      <c r="R35" s="73">
        <v>2</v>
      </c>
      <c r="S35" s="74">
        <v>32</v>
      </c>
      <c r="T35" s="64"/>
      <c r="U35" s="64"/>
      <c r="V35" s="64"/>
      <c r="W35" s="33" t="s">
        <v>599</v>
      </c>
      <c r="X35" s="65"/>
    </row>
    <row r="36" ht="29.25" spans="1:24">
      <c r="A36" s="36" t="s">
        <v>636</v>
      </c>
      <c r="B36" s="45">
        <v>5208020</v>
      </c>
      <c r="C36" s="37" t="s">
        <v>598</v>
      </c>
      <c r="D36" s="39">
        <v>1.4</v>
      </c>
      <c r="E36" s="38">
        <v>4.2</v>
      </c>
      <c r="F36" s="38">
        <v>6.1</v>
      </c>
      <c r="G36" s="38">
        <v>8.1</v>
      </c>
      <c r="H36" s="39">
        <v>11.3</v>
      </c>
      <c r="I36" s="39"/>
      <c r="J36" s="39"/>
      <c r="K36" s="57">
        <v>0.1</v>
      </c>
      <c r="L36" s="57">
        <v>0.2</v>
      </c>
      <c r="M36" s="57">
        <v>0.3</v>
      </c>
      <c r="N36" s="57">
        <v>0.2</v>
      </c>
      <c r="O36" s="57">
        <v>0.2</v>
      </c>
      <c r="P36" s="57"/>
      <c r="Q36" s="57"/>
      <c r="R36" s="71">
        <v>2</v>
      </c>
      <c r="S36" s="72">
        <v>32</v>
      </c>
      <c r="T36" s="64"/>
      <c r="U36" s="64"/>
      <c r="V36" s="64"/>
      <c r="W36" s="33" t="s">
        <v>599</v>
      </c>
      <c r="X36" s="65"/>
    </row>
    <row r="37" ht="28.75" spans="1:24">
      <c r="A37" s="36" t="s">
        <v>637</v>
      </c>
      <c r="B37" s="45">
        <v>5104013</v>
      </c>
      <c r="C37" s="37" t="s">
        <v>598</v>
      </c>
      <c r="D37" s="39">
        <v>1.4</v>
      </c>
      <c r="E37" s="38">
        <v>2.2</v>
      </c>
      <c r="F37" s="39">
        <v>3.2</v>
      </c>
      <c r="G37" s="39">
        <v>5.1</v>
      </c>
      <c r="H37" s="39">
        <v>7.1</v>
      </c>
      <c r="I37" s="39"/>
      <c r="J37" s="39"/>
      <c r="K37" s="57">
        <v>0.2</v>
      </c>
      <c r="L37" s="57">
        <v>0.1</v>
      </c>
      <c r="M37" s="57">
        <v>0.2</v>
      </c>
      <c r="N37" s="57">
        <v>0.1</v>
      </c>
      <c r="O37" s="57">
        <v>0.1</v>
      </c>
      <c r="P37" s="57"/>
      <c r="Q37" s="57"/>
      <c r="R37" s="73">
        <v>2</v>
      </c>
      <c r="S37" s="74">
        <v>32</v>
      </c>
      <c r="T37" s="64"/>
      <c r="U37" s="64"/>
      <c r="V37" s="64"/>
      <c r="W37" s="33" t="s">
        <v>599</v>
      </c>
      <c r="X37" s="65"/>
    </row>
    <row r="38" ht="28.75" spans="1:24">
      <c r="A38" s="36" t="s">
        <v>638</v>
      </c>
      <c r="B38" s="45">
        <v>5208083</v>
      </c>
      <c r="C38" s="37" t="s">
        <v>598</v>
      </c>
      <c r="D38" s="39">
        <v>2.4</v>
      </c>
      <c r="E38" s="39">
        <v>3.4</v>
      </c>
      <c r="F38" s="39">
        <v>5.3</v>
      </c>
      <c r="G38" s="39">
        <v>12.1</v>
      </c>
      <c r="H38" s="39"/>
      <c r="I38" s="39"/>
      <c r="J38" s="39"/>
      <c r="K38" s="57">
        <v>0.1</v>
      </c>
      <c r="L38" s="57">
        <v>0.2</v>
      </c>
      <c r="M38" s="57">
        <v>0.2</v>
      </c>
      <c r="N38" s="57">
        <v>0.1</v>
      </c>
      <c r="O38" s="57"/>
      <c r="P38" s="57"/>
      <c r="Q38" s="57"/>
      <c r="R38" s="71">
        <v>2.5</v>
      </c>
      <c r="S38" s="72">
        <v>48</v>
      </c>
      <c r="T38" s="64"/>
      <c r="U38" s="64"/>
      <c r="V38" s="64"/>
      <c r="W38" s="33" t="s">
        <v>599</v>
      </c>
      <c r="X38" s="65"/>
    </row>
    <row r="39" ht="28.75" spans="1:24">
      <c r="A39" s="36" t="s">
        <v>639</v>
      </c>
      <c r="B39" s="45">
        <v>5208562</v>
      </c>
      <c r="C39" s="37" t="s">
        <v>598</v>
      </c>
      <c r="D39" s="39">
        <v>1.1</v>
      </c>
      <c r="E39" s="39">
        <v>1.3</v>
      </c>
      <c r="F39" s="39">
        <v>3.1</v>
      </c>
      <c r="G39" s="39">
        <v>5.1</v>
      </c>
      <c r="H39" s="39">
        <v>9.1</v>
      </c>
      <c r="I39" s="39">
        <v>11.1</v>
      </c>
      <c r="J39" s="39"/>
      <c r="K39" s="57">
        <v>0.2</v>
      </c>
      <c r="L39" s="57">
        <v>0.3</v>
      </c>
      <c r="M39" s="57">
        <v>0.1</v>
      </c>
      <c r="N39" s="57">
        <v>0.1</v>
      </c>
      <c r="O39" s="57">
        <v>0.3</v>
      </c>
      <c r="P39" s="57">
        <v>0.2</v>
      </c>
      <c r="Q39" s="57"/>
      <c r="R39" s="49">
        <v>2</v>
      </c>
      <c r="S39" s="75">
        <v>32</v>
      </c>
      <c r="T39" s="76"/>
      <c r="U39" s="76"/>
      <c r="V39" s="76"/>
      <c r="W39" s="33" t="s">
        <v>599</v>
      </c>
      <c r="X39" s="65"/>
    </row>
    <row r="40" ht="28.75" spans="1:24">
      <c r="A40" s="36" t="s">
        <v>640</v>
      </c>
      <c r="B40" s="45">
        <v>5208416</v>
      </c>
      <c r="C40" s="37" t="s">
        <v>598</v>
      </c>
      <c r="D40" s="38">
        <v>4.2</v>
      </c>
      <c r="E40" s="38">
        <v>6.2</v>
      </c>
      <c r="F40" s="39">
        <v>8.2</v>
      </c>
      <c r="G40" s="39">
        <v>12.1</v>
      </c>
      <c r="H40" s="39"/>
      <c r="I40" s="39"/>
      <c r="J40" s="39"/>
      <c r="K40" s="57">
        <v>0.2</v>
      </c>
      <c r="L40" s="57">
        <v>0.2</v>
      </c>
      <c r="M40" s="57">
        <v>0.1</v>
      </c>
      <c r="N40" s="57">
        <v>0.2</v>
      </c>
      <c r="O40" s="57"/>
      <c r="P40" s="57"/>
      <c r="Q40" s="57"/>
      <c r="R40" s="49">
        <v>2.5</v>
      </c>
      <c r="S40" s="75">
        <v>48</v>
      </c>
      <c r="T40" s="76"/>
      <c r="U40" s="76"/>
      <c r="V40" s="76"/>
      <c r="W40" s="33" t="s">
        <v>599</v>
      </c>
      <c r="X40" s="65"/>
    </row>
    <row r="41" ht="28.75" spans="1:24">
      <c r="A41" s="36" t="s">
        <v>641</v>
      </c>
      <c r="B41" s="45">
        <v>5208405</v>
      </c>
      <c r="C41" s="37" t="s">
        <v>598</v>
      </c>
      <c r="D41" s="39">
        <v>1.3</v>
      </c>
      <c r="E41" s="39">
        <v>2.4</v>
      </c>
      <c r="F41" s="39">
        <v>5.3</v>
      </c>
      <c r="G41" s="39">
        <v>9.3</v>
      </c>
      <c r="H41" s="39"/>
      <c r="I41" s="39"/>
      <c r="J41" s="39"/>
      <c r="K41" s="57">
        <v>0.2</v>
      </c>
      <c r="L41" s="57">
        <v>0.1</v>
      </c>
      <c r="M41" s="57">
        <v>0.1</v>
      </c>
      <c r="N41" s="57">
        <v>0.2</v>
      </c>
      <c r="O41" s="57"/>
      <c r="P41" s="57"/>
      <c r="Q41" s="57"/>
      <c r="R41" s="49">
        <v>3</v>
      </c>
      <c r="S41" s="75">
        <v>48</v>
      </c>
      <c r="T41" s="76"/>
      <c r="U41" s="76"/>
      <c r="V41" s="76"/>
      <c r="W41" s="33" t="s">
        <v>599</v>
      </c>
      <c r="X41" s="65"/>
    </row>
    <row r="42" ht="29.25" spans="1:24">
      <c r="A42" s="36" t="s">
        <v>642</v>
      </c>
      <c r="B42" s="45">
        <v>5208315</v>
      </c>
      <c r="C42" s="37" t="s">
        <v>598</v>
      </c>
      <c r="D42" s="39">
        <v>1.3</v>
      </c>
      <c r="E42" s="39">
        <v>2.2</v>
      </c>
      <c r="F42" s="39">
        <v>5.1</v>
      </c>
      <c r="G42" s="38">
        <v>6.2</v>
      </c>
      <c r="H42" s="39">
        <v>11.2</v>
      </c>
      <c r="I42" s="39"/>
      <c r="J42" s="39"/>
      <c r="K42" s="57">
        <v>0.1</v>
      </c>
      <c r="L42" s="57">
        <v>0.2</v>
      </c>
      <c r="M42" s="57">
        <v>0.3</v>
      </c>
      <c r="N42" s="57">
        <v>0.2</v>
      </c>
      <c r="O42" s="57">
        <v>0.1</v>
      </c>
      <c r="P42" s="57"/>
      <c r="Q42" s="57"/>
      <c r="R42" s="73">
        <v>2</v>
      </c>
      <c r="S42" s="74">
        <v>32</v>
      </c>
      <c r="T42" s="64"/>
      <c r="U42" s="64"/>
      <c r="V42" s="64"/>
      <c r="W42" s="33" t="s">
        <v>599</v>
      </c>
      <c r="X42" s="65"/>
    </row>
    <row r="43" ht="29.25" spans="1:24">
      <c r="A43" s="36" t="s">
        <v>643</v>
      </c>
      <c r="B43" s="45">
        <v>5208313</v>
      </c>
      <c r="C43" s="37" t="s">
        <v>598</v>
      </c>
      <c r="D43" s="39">
        <v>1.3</v>
      </c>
      <c r="E43" s="39">
        <v>2.4</v>
      </c>
      <c r="F43" s="39">
        <v>7.2</v>
      </c>
      <c r="G43" s="39">
        <v>8.3</v>
      </c>
      <c r="H43" s="39"/>
      <c r="I43" s="39"/>
      <c r="J43" s="39"/>
      <c r="K43" s="57">
        <v>0.1</v>
      </c>
      <c r="L43" s="57">
        <v>0.1</v>
      </c>
      <c r="M43" s="57">
        <v>0.3</v>
      </c>
      <c r="N43" s="57">
        <v>0.2</v>
      </c>
      <c r="O43" s="57"/>
      <c r="P43" s="57"/>
      <c r="Q43" s="57"/>
      <c r="R43" s="71">
        <v>2</v>
      </c>
      <c r="S43" s="72">
        <v>32</v>
      </c>
      <c r="T43" s="64"/>
      <c r="U43" s="64"/>
      <c r="V43" s="64"/>
      <c r="W43" s="33" t="s">
        <v>599</v>
      </c>
      <c r="X43" s="65"/>
    </row>
    <row r="44" ht="29.25" spans="1:24">
      <c r="A44" s="36" t="s">
        <v>644</v>
      </c>
      <c r="B44" s="45">
        <v>5204212</v>
      </c>
      <c r="C44" s="37" t="s">
        <v>598</v>
      </c>
      <c r="D44" s="39">
        <v>5.2</v>
      </c>
      <c r="E44" s="38">
        <v>6.1</v>
      </c>
      <c r="F44" s="38">
        <v>8.1</v>
      </c>
      <c r="G44" s="39">
        <v>10.1</v>
      </c>
      <c r="H44" s="39"/>
      <c r="I44" s="39"/>
      <c r="J44" s="39"/>
      <c r="K44" s="57">
        <v>0.1</v>
      </c>
      <c r="L44" s="57">
        <v>0.1</v>
      </c>
      <c r="M44" s="57">
        <v>0.2</v>
      </c>
      <c r="N44" s="57">
        <v>0.1</v>
      </c>
      <c r="O44" s="57"/>
      <c r="P44" s="57"/>
      <c r="Q44" s="57"/>
      <c r="R44" s="49">
        <v>1</v>
      </c>
      <c r="S44" s="75">
        <v>32</v>
      </c>
      <c r="T44" s="76"/>
      <c r="U44" s="76"/>
      <c r="V44" s="76"/>
      <c r="W44" s="33" t="s">
        <v>599</v>
      </c>
      <c r="X44" s="65"/>
    </row>
    <row r="45" ht="28.75" spans="1:24">
      <c r="A45" s="36" t="s">
        <v>645</v>
      </c>
      <c r="B45" s="45">
        <v>1409903</v>
      </c>
      <c r="C45" s="37" t="s">
        <v>598</v>
      </c>
      <c r="D45" s="39">
        <v>2.2</v>
      </c>
      <c r="E45" s="39">
        <v>5.1</v>
      </c>
      <c r="F45" s="39">
        <v>9.2</v>
      </c>
      <c r="G45" s="39">
        <v>10.3</v>
      </c>
      <c r="H45" s="39">
        <v>11.2</v>
      </c>
      <c r="I45" s="39"/>
      <c r="J45" s="39"/>
      <c r="K45" s="57">
        <v>0.2</v>
      </c>
      <c r="L45" s="57">
        <v>0.2</v>
      </c>
      <c r="M45" s="57">
        <v>0.4</v>
      </c>
      <c r="N45" s="57">
        <v>0.2</v>
      </c>
      <c r="O45" s="57">
        <v>0.2</v>
      </c>
      <c r="P45" s="57"/>
      <c r="Q45" s="57"/>
      <c r="R45" s="50">
        <v>1</v>
      </c>
      <c r="S45" s="77">
        <v>32</v>
      </c>
      <c r="T45" s="76"/>
      <c r="U45" s="76"/>
      <c r="V45" s="76"/>
      <c r="W45" s="33" t="s">
        <v>599</v>
      </c>
      <c r="X45" s="65"/>
    </row>
    <row r="46" ht="29.25" spans="1:24">
      <c r="A46" s="36" t="s">
        <v>646</v>
      </c>
      <c r="B46" s="45">
        <v>5208010</v>
      </c>
      <c r="C46" s="37" t="s">
        <v>598</v>
      </c>
      <c r="D46" s="39">
        <v>2.2</v>
      </c>
      <c r="E46" s="39">
        <v>3.3</v>
      </c>
      <c r="F46" s="39">
        <v>9.1</v>
      </c>
      <c r="G46" s="39">
        <v>10.1</v>
      </c>
      <c r="H46" s="39"/>
      <c r="I46" s="39"/>
      <c r="J46" s="39"/>
      <c r="K46" s="57">
        <v>0.2</v>
      </c>
      <c r="L46" s="57">
        <v>0.2</v>
      </c>
      <c r="M46" s="57">
        <v>0.2</v>
      </c>
      <c r="N46" s="57">
        <v>0.1</v>
      </c>
      <c r="O46" s="57"/>
      <c r="P46" s="57"/>
      <c r="Q46" s="57"/>
      <c r="R46" s="50">
        <v>1</v>
      </c>
      <c r="S46" s="77">
        <v>32</v>
      </c>
      <c r="T46" s="76"/>
      <c r="U46" s="76"/>
      <c r="V46" s="76"/>
      <c r="W46" s="33" t="s">
        <v>599</v>
      </c>
      <c r="X46" s="65"/>
    </row>
    <row r="47" ht="29.25" spans="1:24">
      <c r="A47" s="36" t="s">
        <v>647</v>
      </c>
      <c r="B47" s="45">
        <v>5208003</v>
      </c>
      <c r="C47" s="37" t="s">
        <v>598</v>
      </c>
      <c r="D47" s="38">
        <v>2.2</v>
      </c>
      <c r="E47" s="39">
        <v>3.2</v>
      </c>
      <c r="F47" s="38">
        <v>4.3</v>
      </c>
      <c r="G47" s="39">
        <v>11.3</v>
      </c>
      <c r="H47" s="39"/>
      <c r="I47" s="39"/>
      <c r="J47" s="39"/>
      <c r="K47" s="57">
        <v>0.1</v>
      </c>
      <c r="L47" s="57">
        <v>0.1</v>
      </c>
      <c r="M47" s="57">
        <v>0.1</v>
      </c>
      <c r="N47" s="57">
        <v>0.1</v>
      </c>
      <c r="O47" s="57"/>
      <c r="P47" s="57"/>
      <c r="Q47" s="57"/>
      <c r="R47" s="50">
        <v>1</v>
      </c>
      <c r="S47" s="77">
        <v>32</v>
      </c>
      <c r="T47" s="76"/>
      <c r="U47" s="76"/>
      <c r="V47" s="76"/>
      <c r="W47" s="33" t="s">
        <v>599</v>
      </c>
      <c r="X47" s="65"/>
    </row>
    <row r="48" ht="28.75" spans="1:24">
      <c r="A48" s="36" t="s">
        <v>648</v>
      </c>
      <c r="B48" s="46">
        <v>5208071</v>
      </c>
      <c r="C48" s="37" t="s">
        <v>598</v>
      </c>
      <c r="D48" s="39">
        <v>2.2</v>
      </c>
      <c r="E48" s="38">
        <v>4.2</v>
      </c>
      <c r="F48" s="39">
        <v>5.2</v>
      </c>
      <c r="G48" s="39"/>
      <c r="H48" s="39"/>
      <c r="I48" s="39"/>
      <c r="J48" s="39"/>
      <c r="K48" s="57">
        <v>0.1</v>
      </c>
      <c r="L48" s="57">
        <v>0.2</v>
      </c>
      <c r="M48" s="57">
        <v>0.1</v>
      </c>
      <c r="N48" s="57"/>
      <c r="O48" s="57"/>
      <c r="P48" s="57"/>
      <c r="Q48" s="57"/>
      <c r="R48" s="49">
        <v>0.5</v>
      </c>
      <c r="S48" s="75">
        <v>16</v>
      </c>
      <c r="T48" s="76"/>
      <c r="U48" s="76"/>
      <c r="V48" s="76"/>
      <c r="W48" s="33" t="s">
        <v>599</v>
      </c>
      <c r="X48" s="65"/>
    </row>
    <row r="49" ht="29.25" spans="1:24">
      <c r="A49" s="36" t="s">
        <v>649</v>
      </c>
      <c r="B49" s="49">
        <v>5208073</v>
      </c>
      <c r="C49" s="37" t="s">
        <v>598</v>
      </c>
      <c r="D49" s="39">
        <v>3.3</v>
      </c>
      <c r="E49" s="38">
        <v>4.2</v>
      </c>
      <c r="F49" s="39">
        <v>10.2</v>
      </c>
      <c r="G49" s="39">
        <v>10.3</v>
      </c>
      <c r="H49" s="39"/>
      <c r="I49" s="39"/>
      <c r="J49" s="39"/>
      <c r="K49" s="57">
        <v>0.1</v>
      </c>
      <c r="L49" s="57">
        <v>0.2</v>
      </c>
      <c r="M49" s="57">
        <v>0.2</v>
      </c>
      <c r="N49" s="57">
        <v>0.1</v>
      </c>
      <c r="O49" s="57"/>
      <c r="P49" s="57"/>
      <c r="Q49" s="57"/>
      <c r="R49" s="49">
        <v>0.5</v>
      </c>
      <c r="S49" s="75">
        <v>16</v>
      </c>
      <c r="T49" s="76"/>
      <c r="U49" s="76"/>
      <c r="V49" s="76"/>
      <c r="W49" s="33" t="s">
        <v>599</v>
      </c>
      <c r="X49" s="65"/>
    </row>
    <row r="50" ht="29.25" spans="1:24">
      <c r="A50" s="36" t="s">
        <v>650</v>
      </c>
      <c r="B50" s="50">
        <v>5208008</v>
      </c>
      <c r="C50" s="37" t="s">
        <v>598</v>
      </c>
      <c r="D50" s="39">
        <v>2.4</v>
      </c>
      <c r="E50" s="39">
        <v>3.2</v>
      </c>
      <c r="F50" s="39">
        <v>3.4</v>
      </c>
      <c r="G50" s="38">
        <v>4.1</v>
      </c>
      <c r="H50" s="39">
        <v>5.2</v>
      </c>
      <c r="I50" s="39">
        <v>10.2</v>
      </c>
      <c r="J50" s="39"/>
      <c r="K50" s="57">
        <v>0.1</v>
      </c>
      <c r="L50" s="57">
        <v>0.1</v>
      </c>
      <c r="M50" s="57">
        <v>0.2</v>
      </c>
      <c r="N50" s="57">
        <v>0.2</v>
      </c>
      <c r="O50" s="57">
        <v>0.1</v>
      </c>
      <c r="P50" s="57">
        <v>0.1</v>
      </c>
      <c r="Q50" s="57"/>
      <c r="R50" s="49">
        <v>0.5</v>
      </c>
      <c r="S50" s="75">
        <v>16</v>
      </c>
      <c r="T50" s="76"/>
      <c r="U50" s="76"/>
      <c r="V50" s="76"/>
      <c r="W50" s="33" t="s">
        <v>599</v>
      </c>
      <c r="X50" s="65"/>
    </row>
    <row r="51" ht="29.25" spans="1:24">
      <c r="A51" s="36" t="s">
        <v>651</v>
      </c>
      <c r="B51" s="45">
        <v>5208026</v>
      </c>
      <c r="C51" s="37" t="s">
        <v>598</v>
      </c>
      <c r="D51" s="38">
        <v>2.1</v>
      </c>
      <c r="E51" s="38">
        <v>4.1</v>
      </c>
      <c r="F51" s="38">
        <v>4.3</v>
      </c>
      <c r="G51" s="39">
        <v>10.2</v>
      </c>
      <c r="H51" s="39"/>
      <c r="I51" s="39"/>
      <c r="J51" s="39"/>
      <c r="K51" s="57">
        <v>0.1</v>
      </c>
      <c r="L51" s="57">
        <v>0.1</v>
      </c>
      <c r="M51" s="57">
        <v>0.1</v>
      </c>
      <c r="N51" s="57">
        <v>0.1</v>
      </c>
      <c r="O51" s="57"/>
      <c r="P51" s="57"/>
      <c r="Q51" s="57"/>
      <c r="R51" s="49">
        <v>0.5</v>
      </c>
      <c r="S51" s="75">
        <v>16</v>
      </c>
      <c r="T51" s="76"/>
      <c r="U51" s="76"/>
      <c r="V51" s="76"/>
      <c r="W51" s="33" t="s">
        <v>599</v>
      </c>
      <c r="X51" s="65"/>
    </row>
    <row r="52" ht="29.25" spans="1:24">
      <c r="A52" s="36" t="s">
        <v>652</v>
      </c>
      <c r="B52" s="45">
        <v>5208316</v>
      </c>
      <c r="C52" s="37" t="s">
        <v>598</v>
      </c>
      <c r="D52" s="39">
        <v>3.1</v>
      </c>
      <c r="E52" s="39">
        <v>5.3</v>
      </c>
      <c r="F52" s="39">
        <v>7.2</v>
      </c>
      <c r="G52" s="39">
        <v>9.1</v>
      </c>
      <c r="H52" s="39">
        <v>11.3</v>
      </c>
      <c r="I52" s="39"/>
      <c r="J52" s="39"/>
      <c r="K52" s="57">
        <v>0.1</v>
      </c>
      <c r="L52" s="57">
        <v>0.3</v>
      </c>
      <c r="M52" s="57">
        <v>0.1</v>
      </c>
      <c r="N52" s="57">
        <v>0.2</v>
      </c>
      <c r="O52" s="57">
        <v>0.2</v>
      </c>
      <c r="P52" s="57"/>
      <c r="Q52" s="57"/>
      <c r="R52" s="49">
        <v>1</v>
      </c>
      <c r="S52" s="75">
        <v>32</v>
      </c>
      <c r="T52" s="76"/>
      <c r="U52" s="76"/>
      <c r="V52" s="76"/>
      <c r="W52" s="33" t="s">
        <v>599</v>
      </c>
      <c r="X52" s="65"/>
    </row>
    <row r="53" ht="29.25" spans="1:24">
      <c r="A53" s="36" t="s">
        <v>653</v>
      </c>
      <c r="B53" s="45">
        <v>5208312</v>
      </c>
      <c r="C53" s="37" t="s">
        <v>598</v>
      </c>
      <c r="D53" s="38">
        <v>2.1</v>
      </c>
      <c r="E53" s="39">
        <v>3.2</v>
      </c>
      <c r="F53" s="39">
        <v>5.2</v>
      </c>
      <c r="G53" s="39">
        <v>9.1</v>
      </c>
      <c r="H53" s="39">
        <v>10.1</v>
      </c>
      <c r="I53" s="39"/>
      <c r="J53" s="39"/>
      <c r="K53" s="57">
        <v>0.2</v>
      </c>
      <c r="L53" s="57">
        <v>0.2</v>
      </c>
      <c r="M53" s="57">
        <v>0.3</v>
      </c>
      <c r="N53" s="57">
        <v>0.2</v>
      </c>
      <c r="O53" s="57">
        <v>0.1</v>
      </c>
      <c r="P53" s="57"/>
      <c r="Q53" s="57"/>
      <c r="R53" s="49">
        <v>1</v>
      </c>
      <c r="S53" s="75">
        <v>32</v>
      </c>
      <c r="T53" s="76"/>
      <c r="U53" s="76"/>
      <c r="V53" s="76"/>
      <c r="W53" s="33" t="s">
        <v>599</v>
      </c>
      <c r="X53" s="65"/>
    </row>
    <row r="54" ht="29.25" spans="1:24">
      <c r="A54" s="36" t="s">
        <v>654</v>
      </c>
      <c r="B54" s="45">
        <v>5208304</v>
      </c>
      <c r="C54" s="37" t="s">
        <v>598</v>
      </c>
      <c r="D54" s="38">
        <v>2.1</v>
      </c>
      <c r="E54" s="39">
        <v>3.1</v>
      </c>
      <c r="F54" s="38">
        <v>4.3</v>
      </c>
      <c r="G54" s="39">
        <v>7.1</v>
      </c>
      <c r="H54" s="39">
        <v>9.2</v>
      </c>
      <c r="I54" s="39"/>
      <c r="J54" s="39"/>
      <c r="K54" s="57">
        <v>0.2</v>
      </c>
      <c r="L54" s="57">
        <v>0.1</v>
      </c>
      <c r="M54" s="57">
        <v>0.2</v>
      </c>
      <c r="N54" s="57">
        <v>0.1</v>
      </c>
      <c r="O54" s="57">
        <v>0.1</v>
      </c>
      <c r="P54" s="57"/>
      <c r="Q54" s="57"/>
      <c r="R54" s="49">
        <v>1</v>
      </c>
      <c r="S54" s="75">
        <v>32</v>
      </c>
      <c r="T54" s="76"/>
      <c r="U54" s="76"/>
      <c r="V54" s="76"/>
      <c r="W54" s="33" t="s">
        <v>599</v>
      </c>
      <c r="X54" s="65"/>
    </row>
    <row r="55" ht="29.25" spans="1:24">
      <c r="A55" s="36" t="s">
        <v>655</v>
      </c>
      <c r="B55" s="45">
        <v>5208021</v>
      </c>
      <c r="C55" s="37" t="s">
        <v>598</v>
      </c>
      <c r="D55" s="39">
        <v>3.4</v>
      </c>
      <c r="E55" s="38">
        <v>4.4</v>
      </c>
      <c r="F55" s="39">
        <v>5.2</v>
      </c>
      <c r="G55" s="39">
        <v>7.2</v>
      </c>
      <c r="H55" s="39">
        <v>8.3</v>
      </c>
      <c r="I55" s="39"/>
      <c r="J55" s="39"/>
      <c r="K55" s="57">
        <v>0.1</v>
      </c>
      <c r="L55" s="57">
        <v>0.2</v>
      </c>
      <c r="M55" s="57">
        <v>0.2</v>
      </c>
      <c r="N55" s="57">
        <v>0.2</v>
      </c>
      <c r="O55" s="57">
        <v>0.2</v>
      </c>
      <c r="P55" s="57"/>
      <c r="Q55" s="57"/>
      <c r="R55" s="49">
        <v>1</v>
      </c>
      <c r="S55" s="75">
        <v>32</v>
      </c>
      <c r="T55" s="76"/>
      <c r="U55" s="76"/>
      <c r="V55" s="76"/>
      <c r="W55" s="33" t="s">
        <v>599</v>
      </c>
      <c r="X55" s="65"/>
    </row>
    <row r="56" ht="29.25" spans="1:24">
      <c r="A56" s="36" t="s">
        <v>656</v>
      </c>
      <c r="B56" s="45">
        <v>5208410</v>
      </c>
      <c r="C56" s="37" t="s">
        <v>598</v>
      </c>
      <c r="D56" s="38">
        <v>2.1</v>
      </c>
      <c r="E56" s="39">
        <v>3.2</v>
      </c>
      <c r="F56" s="38">
        <v>4.3</v>
      </c>
      <c r="G56" s="39">
        <v>11.2</v>
      </c>
      <c r="H56" s="39"/>
      <c r="I56" s="39"/>
      <c r="J56" s="39"/>
      <c r="K56" s="57">
        <v>0.1</v>
      </c>
      <c r="L56" s="57">
        <v>0.1</v>
      </c>
      <c r="M56" s="57">
        <v>0.1</v>
      </c>
      <c r="N56" s="57">
        <v>0.1</v>
      </c>
      <c r="O56" s="57"/>
      <c r="P56" s="57"/>
      <c r="Q56" s="57"/>
      <c r="R56" s="49">
        <v>1</v>
      </c>
      <c r="S56" s="75">
        <v>32</v>
      </c>
      <c r="T56" s="76"/>
      <c r="U56" s="76"/>
      <c r="V56" s="76"/>
      <c r="W56" s="33" t="s">
        <v>599</v>
      </c>
      <c r="X56" s="65"/>
    </row>
    <row r="57" ht="29.25" spans="1:24">
      <c r="A57" s="36" t="s">
        <v>657</v>
      </c>
      <c r="B57" s="45">
        <v>5208563</v>
      </c>
      <c r="C57" s="37" t="s">
        <v>598</v>
      </c>
      <c r="D57" s="39">
        <v>3.3</v>
      </c>
      <c r="E57" s="39">
        <v>5.2</v>
      </c>
      <c r="F57" s="38">
        <v>6.1</v>
      </c>
      <c r="G57" s="39">
        <v>9.2</v>
      </c>
      <c r="H57" s="39">
        <v>11.2</v>
      </c>
      <c r="I57" s="39"/>
      <c r="J57" s="39"/>
      <c r="K57" s="57">
        <v>0.2</v>
      </c>
      <c r="L57" s="57">
        <v>0.1</v>
      </c>
      <c r="M57" s="57">
        <v>0.2</v>
      </c>
      <c r="N57" s="57">
        <v>0.2</v>
      </c>
      <c r="O57" s="57">
        <v>0.3</v>
      </c>
      <c r="P57" s="57"/>
      <c r="Q57" s="57"/>
      <c r="R57" s="49">
        <v>1</v>
      </c>
      <c r="S57" s="75">
        <v>32</v>
      </c>
      <c r="T57" s="76"/>
      <c r="U57" s="76"/>
      <c r="V57" s="76"/>
      <c r="W57" s="33" t="s">
        <v>599</v>
      </c>
      <c r="X57" s="65"/>
    </row>
    <row r="58" ht="29.25" spans="1:24">
      <c r="A58" s="36" t="s">
        <v>658</v>
      </c>
      <c r="B58" s="45">
        <v>5208314</v>
      </c>
      <c r="C58" s="37" t="s">
        <v>598</v>
      </c>
      <c r="D58" s="39">
        <v>3.2</v>
      </c>
      <c r="E58" s="38">
        <v>4.2</v>
      </c>
      <c r="F58" s="39">
        <v>5.3</v>
      </c>
      <c r="G58" s="39">
        <v>10.2</v>
      </c>
      <c r="H58" s="39">
        <v>11.3</v>
      </c>
      <c r="I58" s="39"/>
      <c r="J58" s="39"/>
      <c r="K58" s="57">
        <v>0.1</v>
      </c>
      <c r="L58" s="57">
        <v>0.2</v>
      </c>
      <c r="M58" s="57">
        <v>0.1</v>
      </c>
      <c r="N58" s="57">
        <v>0.2</v>
      </c>
      <c r="O58" s="57">
        <v>0.2</v>
      </c>
      <c r="P58" s="57"/>
      <c r="Q58" s="57"/>
      <c r="R58" s="49">
        <v>1</v>
      </c>
      <c r="S58" s="75">
        <v>32</v>
      </c>
      <c r="T58" s="76"/>
      <c r="U58" s="76"/>
      <c r="V58" s="76"/>
      <c r="W58" s="33" t="s">
        <v>599</v>
      </c>
      <c r="X58" s="65"/>
    </row>
    <row r="59" ht="29.25" spans="1:24">
      <c r="A59" s="36" t="s">
        <v>659</v>
      </c>
      <c r="B59" s="45">
        <v>5208028</v>
      </c>
      <c r="C59" s="37" t="s">
        <v>598</v>
      </c>
      <c r="D59" s="39">
        <v>3.4</v>
      </c>
      <c r="E59" s="38">
        <v>4.1</v>
      </c>
      <c r="F59" s="39">
        <v>9.2</v>
      </c>
      <c r="G59" s="39">
        <v>11.1</v>
      </c>
      <c r="H59" s="39">
        <v>11.3</v>
      </c>
      <c r="I59" s="39"/>
      <c r="J59" s="39"/>
      <c r="K59" s="57">
        <v>0.2</v>
      </c>
      <c r="L59" s="57">
        <v>0.1</v>
      </c>
      <c r="M59" s="57">
        <v>0.2</v>
      </c>
      <c r="N59" s="57">
        <v>0.2</v>
      </c>
      <c r="O59" s="57">
        <v>0.2</v>
      </c>
      <c r="P59" s="57"/>
      <c r="Q59" s="57"/>
      <c r="R59" s="49">
        <v>2</v>
      </c>
      <c r="S59" s="75">
        <v>64</v>
      </c>
      <c r="T59" s="76"/>
      <c r="U59" s="76"/>
      <c r="V59" s="76"/>
      <c r="W59" s="33" t="s">
        <v>599</v>
      </c>
      <c r="X59" s="65"/>
    </row>
    <row r="60" ht="28.75" spans="1:24">
      <c r="A60" s="36" t="s">
        <v>660</v>
      </c>
      <c r="B60" s="45">
        <v>5208088</v>
      </c>
      <c r="C60" s="37" t="s">
        <v>598</v>
      </c>
      <c r="D60" s="39">
        <v>1.2</v>
      </c>
      <c r="E60" s="39">
        <v>3.4</v>
      </c>
      <c r="F60" s="38">
        <v>4.3</v>
      </c>
      <c r="G60" s="39">
        <v>5.3</v>
      </c>
      <c r="H60" s="39">
        <v>9.3</v>
      </c>
      <c r="I60" s="39"/>
      <c r="J60" s="39"/>
      <c r="K60" s="57">
        <v>0.1</v>
      </c>
      <c r="L60" s="57">
        <v>0.2</v>
      </c>
      <c r="M60" s="57">
        <v>0.2</v>
      </c>
      <c r="N60" s="57">
        <v>0.1</v>
      </c>
      <c r="O60" s="57">
        <v>0.3</v>
      </c>
      <c r="P60" s="57"/>
      <c r="Q60" s="57"/>
      <c r="R60" s="49">
        <v>2</v>
      </c>
      <c r="S60" s="75">
        <v>64</v>
      </c>
      <c r="T60" s="76"/>
      <c r="U60" s="76"/>
      <c r="V60" s="76"/>
      <c r="W60" s="33" t="s">
        <v>599</v>
      </c>
      <c r="X60" s="65"/>
    </row>
    <row r="61" ht="28.75" spans="1:24">
      <c r="A61" s="36" t="s">
        <v>661</v>
      </c>
      <c r="B61" s="49">
        <v>5208092</v>
      </c>
      <c r="C61" s="37" t="s">
        <v>598</v>
      </c>
      <c r="D61" s="38">
        <v>4.3</v>
      </c>
      <c r="E61" s="38">
        <v>6.2</v>
      </c>
      <c r="F61" s="39">
        <v>7.1</v>
      </c>
      <c r="G61" s="39">
        <v>10.1</v>
      </c>
      <c r="H61" s="39">
        <v>10.3</v>
      </c>
      <c r="I61" s="39">
        <v>12.2</v>
      </c>
      <c r="J61" s="39"/>
      <c r="K61" s="57">
        <v>0.1</v>
      </c>
      <c r="L61" s="57">
        <v>0.3</v>
      </c>
      <c r="M61" s="57">
        <v>0.2</v>
      </c>
      <c r="N61" s="57">
        <v>0.2</v>
      </c>
      <c r="O61" s="57">
        <v>0.3</v>
      </c>
      <c r="P61" s="57">
        <v>0.3</v>
      </c>
      <c r="Q61" s="57"/>
      <c r="R61" s="49">
        <v>13</v>
      </c>
      <c r="S61" s="75">
        <v>416</v>
      </c>
      <c r="T61" s="76"/>
      <c r="U61" s="76"/>
      <c r="V61" s="76"/>
      <c r="W61" s="33" t="s">
        <v>599</v>
      </c>
      <c r="X61" s="65"/>
    </row>
    <row r="62" ht="28.75" spans="1:24">
      <c r="A62" s="36" t="s">
        <v>662</v>
      </c>
      <c r="B62" s="50">
        <v>5208103</v>
      </c>
      <c r="C62" s="37" t="s">
        <v>598</v>
      </c>
      <c r="D62" s="39">
        <v>2.4</v>
      </c>
      <c r="E62" s="39">
        <v>3.1</v>
      </c>
      <c r="F62" s="38">
        <v>4.3</v>
      </c>
      <c r="G62" s="39">
        <v>7.2</v>
      </c>
      <c r="H62" s="39">
        <v>8.3</v>
      </c>
      <c r="I62" s="39">
        <v>10.1</v>
      </c>
      <c r="J62" s="39">
        <v>11.1</v>
      </c>
      <c r="K62" s="57">
        <v>0.2</v>
      </c>
      <c r="L62" s="57">
        <v>0.3</v>
      </c>
      <c r="M62" s="57">
        <v>0.2</v>
      </c>
      <c r="N62" s="57">
        <v>0.3</v>
      </c>
      <c r="O62" s="57">
        <v>0.3</v>
      </c>
      <c r="P62" s="57">
        <v>0.3</v>
      </c>
      <c r="Q62" s="57">
        <v>0.3</v>
      </c>
      <c r="R62" s="50">
        <v>13</v>
      </c>
      <c r="S62" s="77">
        <v>416</v>
      </c>
      <c r="T62" s="76"/>
      <c r="U62" s="76"/>
      <c r="V62" s="76"/>
      <c r="W62" s="33" t="s">
        <v>599</v>
      </c>
      <c r="X62" s="65"/>
    </row>
    <row r="63" ht="36.75" spans="1:24">
      <c r="A63" s="51" t="s">
        <v>663</v>
      </c>
      <c r="B63" s="52">
        <v>7109911</v>
      </c>
      <c r="C63" s="37" t="s">
        <v>598</v>
      </c>
      <c r="D63" s="53">
        <v>6.2</v>
      </c>
      <c r="E63" s="54">
        <v>7.1</v>
      </c>
      <c r="F63" s="54"/>
      <c r="G63" s="54"/>
      <c r="H63" s="54"/>
      <c r="I63" s="54"/>
      <c r="J63" s="54"/>
      <c r="K63" s="59">
        <v>0.1</v>
      </c>
      <c r="L63" s="59">
        <v>0.2</v>
      </c>
      <c r="M63" s="59"/>
      <c r="N63" s="59"/>
      <c r="O63" s="59"/>
      <c r="P63" s="59"/>
      <c r="Q63" s="59"/>
      <c r="R63" s="32">
        <v>3</v>
      </c>
      <c r="S63" s="32">
        <v>48</v>
      </c>
      <c r="T63" s="32">
        <f>S63</f>
        <v>48</v>
      </c>
      <c r="W63" s="33" t="s">
        <v>405</v>
      </c>
      <c r="X63" s="78" t="s">
        <v>664</v>
      </c>
    </row>
    <row r="64" ht="19" customHeight="1" spans="1:24">
      <c r="A64" s="55" t="s">
        <v>665</v>
      </c>
      <c r="B64" s="52">
        <v>7109910</v>
      </c>
      <c r="C64" s="37" t="s">
        <v>598</v>
      </c>
      <c r="D64" s="29">
        <v>7.2</v>
      </c>
      <c r="E64" s="29">
        <v>8.1</v>
      </c>
      <c r="F64" s="29"/>
      <c r="G64" s="29"/>
      <c r="H64" s="29"/>
      <c r="I64" s="29"/>
      <c r="J64" s="29"/>
      <c r="K64" s="29">
        <v>0.2</v>
      </c>
      <c r="L64" s="29">
        <v>0.1</v>
      </c>
      <c r="M64" s="29"/>
      <c r="N64" s="29"/>
      <c r="O64" s="29"/>
      <c r="P64" s="29"/>
      <c r="Q64" s="29"/>
      <c r="R64" s="32">
        <v>4</v>
      </c>
      <c r="S64" s="32">
        <v>64</v>
      </c>
      <c r="T64" s="32">
        <f t="shared" ref="T64:T95" si="0">S64</f>
        <v>64</v>
      </c>
      <c r="W64" s="33" t="s">
        <v>405</v>
      </c>
      <c r="X64" s="78" t="s">
        <v>664</v>
      </c>
    </row>
    <row r="65" ht="36.75" spans="1:24">
      <c r="A65" s="55" t="s">
        <v>666</v>
      </c>
      <c r="B65" s="52">
        <v>8403403</v>
      </c>
      <c r="C65" s="37" t="s">
        <v>598</v>
      </c>
      <c r="D65" s="29">
        <v>3.4</v>
      </c>
      <c r="E65" s="29">
        <v>7.1</v>
      </c>
      <c r="F65" s="29">
        <v>8.2</v>
      </c>
      <c r="G65" s="29"/>
      <c r="H65" s="29"/>
      <c r="I65" s="29"/>
      <c r="J65" s="29"/>
      <c r="K65" s="29">
        <v>0.1</v>
      </c>
      <c r="L65" s="29">
        <v>0.2</v>
      </c>
      <c r="M65" s="29">
        <v>0.1</v>
      </c>
      <c r="N65" s="29"/>
      <c r="O65" s="29"/>
      <c r="P65" s="29"/>
      <c r="Q65" s="29"/>
      <c r="R65" s="32">
        <v>2</v>
      </c>
      <c r="S65" s="32">
        <v>32</v>
      </c>
      <c r="T65" s="32">
        <f t="shared" si="0"/>
        <v>32</v>
      </c>
      <c r="W65" s="33" t="s">
        <v>405</v>
      </c>
      <c r="X65" s="78" t="s">
        <v>664</v>
      </c>
    </row>
    <row r="66" ht="28.75" spans="1:24">
      <c r="A66" s="55" t="s">
        <v>667</v>
      </c>
      <c r="B66" s="52">
        <v>7703505</v>
      </c>
      <c r="C66" s="37" t="s">
        <v>598</v>
      </c>
      <c r="D66" s="29">
        <v>8.1</v>
      </c>
      <c r="E66" s="29">
        <v>12.1</v>
      </c>
      <c r="F66" s="29"/>
      <c r="G66" s="29"/>
      <c r="H66" s="29"/>
      <c r="I66" s="29"/>
      <c r="J66" s="29"/>
      <c r="K66" s="29">
        <v>0.1</v>
      </c>
      <c r="L66" s="29">
        <v>0.1</v>
      </c>
      <c r="M66" s="29"/>
      <c r="N66" s="29"/>
      <c r="O66" s="29"/>
      <c r="P66" s="29"/>
      <c r="Q66" s="29"/>
      <c r="R66" s="32">
        <v>3</v>
      </c>
      <c r="S66" s="32">
        <v>48</v>
      </c>
      <c r="T66" s="32">
        <f t="shared" si="0"/>
        <v>48</v>
      </c>
      <c r="W66" s="33" t="s">
        <v>405</v>
      </c>
      <c r="X66" s="78" t="s">
        <v>664</v>
      </c>
    </row>
    <row r="67" ht="36.75" spans="1:24">
      <c r="A67" s="55" t="s">
        <v>668</v>
      </c>
      <c r="B67" s="52" t="s">
        <v>669</v>
      </c>
      <c r="C67" s="37" t="s">
        <v>598</v>
      </c>
      <c r="D67" s="29">
        <v>7.1</v>
      </c>
      <c r="E67" s="29">
        <v>10.2</v>
      </c>
      <c r="F67" s="29"/>
      <c r="G67" s="29"/>
      <c r="H67" s="29"/>
      <c r="I67" s="29"/>
      <c r="J67" s="29"/>
      <c r="K67" s="29">
        <v>0.1</v>
      </c>
      <c r="L67" s="29">
        <v>0.1</v>
      </c>
      <c r="M67" s="29"/>
      <c r="N67" s="29"/>
      <c r="O67" s="29"/>
      <c r="P67" s="29"/>
      <c r="Q67" s="29"/>
      <c r="R67" s="32">
        <v>2</v>
      </c>
      <c r="T67" s="32">
        <f t="shared" si="0"/>
        <v>0</v>
      </c>
      <c r="W67" s="33" t="s">
        <v>405</v>
      </c>
      <c r="X67" s="78" t="s">
        <v>664</v>
      </c>
    </row>
    <row r="68" ht="36.75" spans="1:24">
      <c r="A68" s="55" t="s">
        <v>670</v>
      </c>
      <c r="B68" s="52">
        <v>8402711</v>
      </c>
      <c r="C68" s="37" t="s">
        <v>598</v>
      </c>
      <c r="D68" s="29">
        <v>8.2</v>
      </c>
      <c r="E68" s="29">
        <v>12.2</v>
      </c>
      <c r="F68" s="29"/>
      <c r="G68" s="29"/>
      <c r="H68" s="29"/>
      <c r="I68" s="29"/>
      <c r="J68" s="29"/>
      <c r="K68" s="29">
        <v>0.1</v>
      </c>
      <c r="L68" s="29">
        <v>0.2</v>
      </c>
      <c r="M68" s="29"/>
      <c r="N68" s="29"/>
      <c r="O68" s="29"/>
      <c r="P68" s="29"/>
      <c r="Q68" s="29"/>
      <c r="R68" s="32">
        <v>1</v>
      </c>
      <c r="S68" s="32">
        <v>32</v>
      </c>
      <c r="T68" s="32">
        <f t="shared" si="0"/>
        <v>32</v>
      </c>
      <c r="W68" s="33" t="s">
        <v>405</v>
      </c>
      <c r="X68" s="78" t="s">
        <v>664</v>
      </c>
    </row>
    <row r="69" ht="28.75" spans="1:24">
      <c r="A69" s="55" t="s">
        <v>671</v>
      </c>
      <c r="B69" s="52">
        <v>1807412</v>
      </c>
      <c r="C69" s="37" t="s">
        <v>598</v>
      </c>
      <c r="D69" s="29">
        <v>10.2</v>
      </c>
      <c r="E69" s="29">
        <v>12.1</v>
      </c>
      <c r="F69" s="29"/>
      <c r="G69" s="29"/>
      <c r="H69" s="29"/>
      <c r="I69" s="29"/>
      <c r="J69" s="29"/>
      <c r="K69" s="29">
        <v>0.1</v>
      </c>
      <c r="L69" s="29">
        <v>0.2</v>
      </c>
      <c r="M69" s="29"/>
      <c r="N69" s="29"/>
      <c r="O69" s="29"/>
      <c r="P69" s="29"/>
      <c r="Q69" s="29"/>
      <c r="R69" s="32">
        <v>0.5</v>
      </c>
      <c r="S69" s="32">
        <v>8</v>
      </c>
      <c r="T69" s="32">
        <f t="shared" si="0"/>
        <v>8</v>
      </c>
      <c r="W69" s="33" t="s">
        <v>405</v>
      </c>
      <c r="X69" s="78" t="s">
        <v>664</v>
      </c>
    </row>
    <row r="70" ht="28.75" spans="1:24">
      <c r="A70" s="55" t="s">
        <v>672</v>
      </c>
      <c r="B70" s="79">
        <v>8401706</v>
      </c>
      <c r="C70" s="37" t="s">
        <v>598</v>
      </c>
      <c r="D70" s="29">
        <v>6.2</v>
      </c>
      <c r="E70" s="29">
        <v>7.2</v>
      </c>
      <c r="F70" s="29">
        <v>8.1</v>
      </c>
      <c r="G70" s="29">
        <v>10.2</v>
      </c>
      <c r="H70" s="29"/>
      <c r="I70" s="29"/>
      <c r="J70" s="29"/>
      <c r="K70" s="29">
        <v>0.1</v>
      </c>
      <c r="L70" s="29">
        <v>0.2</v>
      </c>
      <c r="M70" s="29">
        <v>0.1</v>
      </c>
      <c r="N70" s="29">
        <v>0.2</v>
      </c>
      <c r="O70" s="29"/>
      <c r="P70" s="29"/>
      <c r="Q70" s="29"/>
      <c r="R70" s="32">
        <v>2</v>
      </c>
      <c r="T70" s="32">
        <f t="shared" si="0"/>
        <v>0</v>
      </c>
      <c r="W70" s="33" t="s">
        <v>405</v>
      </c>
      <c r="X70" s="78" t="s">
        <v>664</v>
      </c>
    </row>
    <row r="71" ht="28.75" spans="1:24">
      <c r="A71" s="55" t="s">
        <v>673</v>
      </c>
      <c r="B71" s="80">
        <v>8409949</v>
      </c>
      <c r="C71" s="37" t="s">
        <v>598</v>
      </c>
      <c r="D71" s="29">
        <v>7.2</v>
      </c>
      <c r="E71" s="29">
        <v>12.1</v>
      </c>
      <c r="F71" s="29"/>
      <c r="G71" s="29"/>
      <c r="H71" s="29"/>
      <c r="I71" s="29"/>
      <c r="J71" s="29"/>
      <c r="K71" s="29">
        <v>0.1</v>
      </c>
      <c r="L71" s="29">
        <v>0.2</v>
      </c>
      <c r="M71" s="29"/>
      <c r="N71" s="29"/>
      <c r="O71" s="29"/>
      <c r="P71" s="29"/>
      <c r="Q71" s="29"/>
      <c r="R71" s="32">
        <v>0.5</v>
      </c>
      <c r="T71" s="32">
        <f t="shared" si="0"/>
        <v>0</v>
      </c>
      <c r="W71" s="33" t="s">
        <v>405</v>
      </c>
      <c r="X71" s="78" t="s">
        <v>664</v>
      </c>
    </row>
    <row r="72" ht="28.75" spans="1:24">
      <c r="A72" s="55" t="s">
        <v>674</v>
      </c>
      <c r="B72" s="52">
        <v>8309902</v>
      </c>
      <c r="C72" s="37" t="s">
        <v>598</v>
      </c>
      <c r="D72" s="29">
        <v>8.1</v>
      </c>
      <c r="E72" s="29">
        <v>9.2</v>
      </c>
      <c r="F72" s="29"/>
      <c r="G72" s="29"/>
      <c r="H72" s="29"/>
      <c r="I72" s="29"/>
      <c r="J72" s="29"/>
      <c r="K72" s="29">
        <v>0.1</v>
      </c>
      <c r="L72" s="29">
        <v>0.1</v>
      </c>
      <c r="M72" s="29"/>
      <c r="N72" s="29"/>
      <c r="O72" s="29"/>
      <c r="P72" s="29"/>
      <c r="Q72" s="29"/>
      <c r="R72" s="32">
        <v>2</v>
      </c>
      <c r="S72" s="32">
        <v>16</v>
      </c>
      <c r="T72" s="32">
        <f t="shared" si="0"/>
        <v>16</v>
      </c>
      <c r="W72" s="33" t="s">
        <v>405</v>
      </c>
      <c r="X72" s="78" t="s">
        <v>664</v>
      </c>
    </row>
    <row r="73" ht="36.75" spans="1:24">
      <c r="A73" s="55" t="s">
        <v>675</v>
      </c>
      <c r="B73" s="52" t="s">
        <v>676</v>
      </c>
      <c r="C73" s="37" t="s">
        <v>598</v>
      </c>
      <c r="D73" s="29">
        <v>8.3</v>
      </c>
      <c r="E73" s="29">
        <v>9.3</v>
      </c>
      <c r="F73" s="29">
        <v>12.1</v>
      </c>
      <c r="G73" s="29"/>
      <c r="H73" s="29"/>
      <c r="I73" s="29"/>
      <c r="J73" s="29"/>
      <c r="K73" s="29">
        <v>0.1</v>
      </c>
      <c r="L73" s="29">
        <v>0.1</v>
      </c>
      <c r="M73" s="29">
        <v>0.2</v>
      </c>
      <c r="N73" s="29"/>
      <c r="O73" s="29"/>
      <c r="P73" s="29"/>
      <c r="Q73" s="29"/>
      <c r="R73" s="32">
        <v>4</v>
      </c>
      <c r="S73" s="32">
        <v>128</v>
      </c>
      <c r="T73" s="32">
        <f t="shared" si="0"/>
        <v>128</v>
      </c>
      <c r="W73" s="33" t="s">
        <v>405</v>
      </c>
      <c r="X73" s="78" t="s">
        <v>664</v>
      </c>
    </row>
    <row r="74" ht="28.75" spans="1:24">
      <c r="A74" s="55" t="s">
        <v>677</v>
      </c>
      <c r="B74" s="52">
        <v>8409990</v>
      </c>
      <c r="C74" s="37" t="s">
        <v>598</v>
      </c>
      <c r="D74" s="29">
        <v>3.3</v>
      </c>
      <c r="E74" s="29">
        <v>6.2</v>
      </c>
      <c r="F74" s="29">
        <v>9.1</v>
      </c>
      <c r="G74" s="29">
        <v>11.2</v>
      </c>
      <c r="H74" s="29"/>
      <c r="I74" s="29"/>
      <c r="J74" s="29"/>
      <c r="K74" s="29">
        <v>0.1</v>
      </c>
      <c r="L74" s="29">
        <v>0.1</v>
      </c>
      <c r="M74" s="29">
        <v>0.1</v>
      </c>
      <c r="N74" s="29">
        <v>0.1</v>
      </c>
      <c r="O74" s="29"/>
      <c r="P74" s="29"/>
      <c r="Q74" s="29"/>
      <c r="R74" s="32">
        <v>2</v>
      </c>
      <c r="T74" s="32">
        <f t="shared" si="0"/>
        <v>0</v>
      </c>
      <c r="W74" s="33" t="s">
        <v>405</v>
      </c>
      <c r="X74" s="78" t="s">
        <v>664</v>
      </c>
    </row>
    <row r="75" ht="36.75" spans="1:24">
      <c r="A75" s="55" t="s">
        <v>678</v>
      </c>
      <c r="B75" s="52" t="s">
        <v>679</v>
      </c>
      <c r="C75" s="37" t="s">
        <v>598</v>
      </c>
      <c r="D75" s="29">
        <v>10.3</v>
      </c>
      <c r="E75" s="29">
        <v>12.2</v>
      </c>
      <c r="F75" s="29"/>
      <c r="G75" s="29"/>
      <c r="H75" s="29"/>
      <c r="I75" s="29"/>
      <c r="J75" s="29"/>
      <c r="K75" s="29">
        <v>0.2</v>
      </c>
      <c r="L75" s="29">
        <v>0.1</v>
      </c>
      <c r="M75" s="29"/>
      <c r="N75" s="29"/>
      <c r="O75" s="29"/>
      <c r="P75" s="29"/>
      <c r="Q75" s="29"/>
      <c r="R75" s="32">
        <v>8</v>
      </c>
      <c r="S75" s="32">
        <v>128</v>
      </c>
      <c r="T75" s="32">
        <f t="shared" si="0"/>
        <v>128</v>
      </c>
      <c r="W75" s="33" t="s">
        <v>405</v>
      </c>
      <c r="X75" s="78" t="s">
        <v>664</v>
      </c>
    </row>
    <row r="76" ht="36.75" spans="1:24">
      <c r="A76" s="55" t="s">
        <v>680</v>
      </c>
      <c r="B76" s="52">
        <v>52020016</v>
      </c>
      <c r="C76" s="37" t="s">
        <v>598</v>
      </c>
      <c r="D76" s="29">
        <v>6.1</v>
      </c>
      <c r="E76" s="29">
        <v>10.1</v>
      </c>
      <c r="F76" s="29"/>
      <c r="G76" s="29"/>
      <c r="H76" s="29"/>
      <c r="I76" s="29"/>
      <c r="J76" s="29"/>
      <c r="K76" s="29">
        <v>0.1</v>
      </c>
      <c r="L76" s="29">
        <v>0.1</v>
      </c>
      <c r="M76" s="29"/>
      <c r="N76" s="29"/>
      <c r="O76" s="29"/>
      <c r="P76" s="29"/>
      <c r="Q76" s="29"/>
      <c r="R76" s="32">
        <v>0.5</v>
      </c>
      <c r="S76" s="32">
        <v>16</v>
      </c>
      <c r="T76" s="32">
        <f t="shared" si="0"/>
        <v>16</v>
      </c>
      <c r="W76" s="33" t="s">
        <v>406</v>
      </c>
      <c r="X76" s="78" t="s">
        <v>681</v>
      </c>
    </row>
    <row r="77" ht="28.75" spans="1:24">
      <c r="A77" s="55" t="s">
        <v>682</v>
      </c>
      <c r="B77" s="52">
        <v>52020007</v>
      </c>
      <c r="C77" s="37" t="s">
        <v>598</v>
      </c>
      <c r="D77" s="29">
        <v>10.1</v>
      </c>
      <c r="E77" s="29">
        <v>10.3</v>
      </c>
      <c r="F77" s="29"/>
      <c r="G77" s="29"/>
      <c r="H77" s="29"/>
      <c r="I77" s="29"/>
      <c r="J77" s="29"/>
      <c r="K77" s="29">
        <v>0.1</v>
      </c>
      <c r="L77" s="29">
        <v>0.1</v>
      </c>
      <c r="M77" s="29"/>
      <c r="N77" s="29"/>
      <c r="O77" s="29"/>
      <c r="P77" s="29"/>
      <c r="Q77" s="29"/>
      <c r="R77" s="32">
        <v>1.5</v>
      </c>
      <c r="S77" s="32">
        <v>48</v>
      </c>
      <c r="T77" s="32">
        <f t="shared" si="0"/>
        <v>48</v>
      </c>
      <c r="W77" s="33" t="s">
        <v>406</v>
      </c>
      <c r="X77" s="78" t="s">
        <v>681</v>
      </c>
    </row>
    <row r="78" ht="36.75" spans="1:24">
      <c r="A78" s="55" t="s">
        <v>683</v>
      </c>
      <c r="B78" s="52">
        <v>4109912</v>
      </c>
      <c r="C78" s="37" t="s">
        <v>598</v>
      </c>
      <c r="D78" s="29">
        <v>6.1</v>
      </c>
      <c r="E78" s="29">
        <v>7.1</v>
      </c>
      <c r="F78" s="29">
        <v>8.3</v>
      </c>
      <c r="G78" s="29">
        <v>11.2</v>
      </c>
      <c r="H78" s="29"/>
      <c r="I78" s="29"/>
      <c r="J78" s="29"/>
      <c r="K78" s="29">
        <v>0.1</v>
      </c>
      <c r="L78" s="29">
        <v>0.2</v>
      </c>
      <c r="M78" s="29">
        <v>0.2</v>
      </c>
      <c r="N78" s="29">
        <v>0.3</v>
      </c>
      <c r="O78" s="29"/>
      <c r="P78" s="29"/>
      <c r="Q78" s="29"/>
      <c r="R78" s="32">
        <v>1</v>
      </c>
      <c r="S78" s="32">
        <v>16</v>
      </c>
      <c r="T78" s="32">
        <f t="shared" si="0"/>
        <v>16</v>
      </c>
      <c r="W78" s="33" t="s">
        <v>406</v>
      </c>
      <c r="X78" s="78" t="s">
        <v>681</v>
      </c>
    </row>
    <row r="79" ht="36.75" spans="1:24">
      <c r="A79" s="55" t="s">
        <v>684</v>
      </c>
      <c r="B79" s="81" t="s">
        <v>685</v>
      </c>
      <c r="C79" s="37" t="s">
        <v>598</v>
      </c>
      <c r="D79" s="29">
        <v>1.1</v>
      </c>
      <c r="E79" s="29">
        <v>1.2</v>
      </c>
      <c r="F79" s="29">
        <v>2.1</v>
      </c>
      <c r="G79" s="29">
        <v>4.4</v>
      </c>
      <c r="H79" s="29">
        <v>12.2</v>
      </c>
      <c r="I79" s="29"/>
      <c r="J79" s="29"/>
      <c r="K79" s="29">
        <v>0.3</v>
      </c>
      <c r="L79" s="29">
        <v>0.2</v>
      </c>
      <c r="M79" s="29">
        <v>0.2</v>
      </c>
      <c r="N79" s="29">
        <v>0.1</v>
      </c>
      <c r="O79" s="29">
        <v>0.2</v>
      </c>
      <c r="P79" s="29"/>
      <c r="Q79" s="29"/>
      <c r="R79" s="85">
        <v>8</v>
      </c>
      <c r="S79" s="85">
        <v>128</v>
      </c>
      <c r="T79" s="32">
        <f t="shared" si="0"/>
        <v>128</v>
      </c>
      <c r="U79" s="86"/>
      <c r="V79" s="86"/>
      <c r="W79" s="87" t="s">
        <v>408</v>
      </c>
      <c r="X79" s="78" t="s">
        <v>686</v>
      </c>
    </row>
    <row r="80" ht="36.75" spans="1:24">
      <c r="A80" s="55" t="s">
        <v>687</v>
      </c>
      <c r="B80" s="82">
        <v>1106411</v>
      </c>
      <c r="C80" s="37" t="s">
        <v>598</v>
      </c>
      <c r="D80" s="29">
        <v>1.1</v>
      </c>
      <c r="E80" s="29">
        <v>1.2</v>
      </c>
      <c r="F80" s="29">
        <v>1.4</v>
      </c>
      <c r="G80" s="29">
        <v>2.4</v>
      </c>
      <c r="H80" s="29">
        <v>4.4</v>
      </c>
      <c r="I80" s="29"/>
      <c r="J80" s="29"/>
      <c r="K80" s="29">
        <v>0.1</v>
      </c>
      <c r="L80" s="29">
        <v>0.3</v>
      </c>
      <c r="M80" s="29">
        <v>0.1</v>
      </c>
      <c r="N80" s="29">
        <v>0.1</v>
      </c>
      <c r="O80" s="29">
        <v>0.1</v>
      </c>
      <c r="P80" s="29"/>
      <c r="Q80" s="29"/>
      <c r="R80" s="32">
        <v>3</v>
      </c>
      <c r="S80" s="32">
        <v>48</v>
      </c>
      <c r="T80" s="32">
        <f t="shared" si="0"/>
        <v>48</v>
      </c>
      <c r="W80" s="87" t="s">
        <v>408</v>
      </c>
      <c r="X80" s="78" t="s">
        <v>686</v>
      </c>
    </row>
    <row r="81" ht="26.75" spans="1:24">
      <c r="A81" s="55" t="s">
        <v>688</v>
      </c>
      <c r="B81" s="52">
        <v>11021013</v>
      </c>
      <c r="C81" s="37" t="s">
        <v>598</v>
      </c>
      <c r="D81" s="29">
        <v>1.1</v>
      </c>
      <c r="E81" s="29">
        <v>1.2</v>
      </c>
      <c r="F81" s="29">
        <v>2.2</v>
      </c>
      <c r="G81" s="29">
        <v>4.4</v>
      </c>
      <c r="H81" s="29"/>
      <c r="I81" s="29"/>
      <c r="J81" s="29"/>
      <c r="K81" s="29">
        <v>0.1</v>
      </c>
      <c r="L81" s="29">
        <v>0.3</v>
      </c>
      <c r="M81" s="29">
        <v>0.1</v>
      </c>
      <c r="N81" s="29">
        <v>0.1</v>
      </c>
      <c r="O81" s="29"/>
      <c r="P81" s="29"/>
      <c r="Q81" s="29"/>
      <c r="R81" s="32">
        <v>3</v>
      </c>
      <c r="S81" s="32">
        <v>48</v>
      </c>
      <c r="T81" s="32">
        <f t="shared" si="0"/>
        <v>48</v>
      </c>
      <c r="W81" s="87" t="s">
        <v>408</v>
      </c>
      <c r="X81" s="78" t="s">
        <v>686</v>
      </c>
    </row>
    <row r="82" ht="26.75" spans="1:24">
      <c r="A82" s="55" t="s">
        <v>689</v>
      </c>
      <c r="B82" s="52">
        <v>14099002</v>
      </c>
      <c r="C82" s="37" t="s">
        <v>598</v>
      </c>
      <c r="D82" s="29">
        <v>1.1</v>
      </c>
      <c r="E82" s="29">
        <v>2.1</v>
      </c>
      <c r="F82" s="29">
        <v>4.1</v>
      </c>
      <c r="G82" s="29">
        <v>5.3</v>
      </c>
      <c r="H82" s="29"/>
      <c r="I82" s="29"/>
      <c r="J82" s="29"/>
      <c r="K82" s="29">
        <v>0.3</v>
      </c>
      <c r="L82" s="29">
        <v>0.2</v>
      </c>
      <c r="M82" s="29">
        <v>0.1</v>
      </c>
      <c r="N82" s="29">
        <v>0.1</v>
      </c>
      <c r="O82" s="29"/>
      <c r="P82" s="29"/>
      <c r="Q82" s="29"/>
      <c r="R82" s="32">
        <v>4</v>
      </c>
      <c r="S82" s="32">
        <v>64</v>
      </c>
      <c r="T82" s="32">
        <f t="shared" si="0"/>
        <v>64</v>
      </c>
      <c r="W82" s="87" t="s">
        <v>408</v>
      </c>
      <c r="X82" s="78" t="s">
        <v>686</v>
      </c>
    </row>
    <row r="83" ht="26.75" spans="1:24">
      <c r="A83" s="55" t="s">
        <v>690</v>
      </c>
      <c r="B83" s="52">
        <v>1108104</v>
      </c>
      <c r="C83" s="37" t="s">
        <v>598</v>
      </c>
      <c r="D83" s="29">
        <v>1.1</v>
      </c>
      <c r="E83" s="29">
        <v>2.2</v>
      </c>
      <c r="F83" s="29">
        <v>4.1</v>
      </c>
      <c r="G83" s="29">
        <v>12.1</v>
      </c>
      <c r="H83" s="29"/>
      <c r="I83" s="29"/>
      <c r="J83" s="29"/>
      <c r="K83" s="29">
        <v>0.1</v>
      </c>
      <c r="L83" s="29">
        <v>0.3</v>
      </c>
      <c r="M83" s="29">
        <v>0.1</v>
      </c>
      <c r="N83" s="29">
        <v>0.3</v>
      </c>
      <c r="O83" s="29"/>
      <c r="P83" s="29"/>
      <c r="Q83" s="29"/>
      <c r="R83" s="32">
        <v>3</v>
      </c>
      <c r="S83" s="32">
        <v>48</v>
      </c>
      <c r="T83" s="32">
        <f t="shared" si="0"/>
        <v>48</v>
      </c>
      <c r="W83" s="87" t="s">
        <v>408</v>
      </c>
      <c r="X83" s="78" t="s">
        <v>686</v>
      </c>
    </row>
    <row r="84" ht="26.75" spans="1:24">
      <c r="A84" s="55" t="s">
        <v>691</v>
      </c>
      <c r="B84" s="52">
        <v>52010004</v>
      </c>
      <c r="C84" s="37" t="s">
        <v>598</v>
      </c>
      <c r="D84" s="29">
        <v>2.2</v>
      </c>
      <c r="E84" s="29">
        <v>3.3</v>
      </c>
      <c r="F84" s="29">
        <v>4.4</v>
      </c>
      <c r="G84" s="29"/>
      <c r="H84" s="29"/>
      <c r="I84" s="29"/>
      <c r="J84" s="29"/>
      <c r="K84" s="29">
        <v>0.1</v>
      </c>
      <c r="L84" s="29">
        <v>0.3</v>
      </c>
      <c r="M84" s="29">
        <v>0.1</v>
      </c>
      <c r="N84" s="29"/>
      <c r="O84" s="29"/>
      <c r="P84" s="29"/>
      <c r="Q84" s="29"/>
      <c r="R84" s="32">
        <v>3</v>
      </c>
      <c r="S84" s="32">
        <v>48</v>
      </c>
      <c r="T84" s="32">
        <f t="shared" si="0"/>
        <v>48</v>
      </c>
      <c r="W84" s="87" t="s">
        <v>408</v>
      </c>
      <c r="X84" s="78" t="s">
        <v>686</v>
      </c>
    </row>
    <row r="85" ht="26.75" spans="1:24">
      <c r="A85" s="55" t="s">
        <v>692</v>
      </c>
      <c r="B85" s="52">
        <v>5204210</v>
      </c>
      <c r="C85" s="37" t="s">
        <v>598</v>
      </c>
      <c r="D85" s="29">
        <v>2.3</v>
      </c>
      <c r="E85" s="29">
        <v>3.2</v>
      </c>
      <c r="F85" s="29">
        <v>8.2</v>
      </c>
      <c r="G85" s="29">
        <v>12.2</v>
      </c>
      <c r="H85" s="29"/>
      <c r="I85" s="29"/>
      <c r="J85" s="29"/>
      <c r="K85" s="29">
        <v>0.1</v>
      </c>
      <c r="L85" s="29">
        <v>0.3</v>
      </c>
      <c r="M85" s="29">
        <v>0.1</v>
      </c>
      <c r="N85" s="29">
        <v>0.1</v>
      </c>
      <c r="O85" s="29"/>
      <c r="P85" s="29"/>
      <c r="Q85" s="29"/>
      <c r="R85" s="32">
        <v>3</v>
      </c>
      <c r="S85" s="32">
        <v>48</v>
      </c>
      <c r="T85" s="32">
        <f t="shared" si="0"/>
        <v>48</v>
      </c>
      <c r="W85" s="87" t="s">
        <v>408</v>
      </c>
      <c r="X85" s="78" t="s">
        <v>686</v>
      </c>
    </row>
    <row r="86" ht="26.75" spans="1:24">
      <c r="A86" s="55" t="s">
        <v>693</v>
      </c>
      <c r="B86" s="52">
        <v>52040008</v>
      </c>
      <c r="C86" s="37" t="s">
        <v>598</v>
      </c>
      <c r="D86" s="29">
        <v>2.2</v>
      </c>
      <c r="E86" s="29">
        <v>3.1</v>
      </c>
      <c r="F86" s="29">
        <v>5.2</v>
      </c>
      <c r="G86" s="29">
        <v>9.2</v>
      </c>
      <c r="H86" s="29"/>
      <c r="I86" s="29"/>
      <c r="J86" s="29"/>
      <c r="K86" s="29">
        <v>0.3</v>
      </c>
      <c r="L86" s="29">
        <v>0.1</v>
      </c>
      <c r="M86" s="29">
        <v>0.1</v>
      </c>
      <c r="N86" s="29">
        <v>0.2</v>
      </c>
      <c r="O86" s="29"/>
      <c r="P86" s="29"/>
      <c r="Q86" s="29"/>
      <c r="R86" s="32">
        <v>3</v>
      </c>
      <c r="S86" s="32">
        <v>48</v>
      </c>
      <c r="T86" s="32">
        <v>32</v>
      </c>
      <c r="V86" s="32">
        <v>16</v>
      </c>
      <c r="W86" s="87" t="s">
        <v>408</v>
      </c>
      <c r="X86" s="78" t="s">
        <v>686</v>
      </c>
    </row>
    <row r="87" ht="26.75" spans="1:24">
      <c r="A87" s="55" t="s">
        <v>694</v>
      </c>
      <c r="B87" s="52">
        <v>5208002</v>
      </c>
      <c r="C87" s="37" t="s">
        <v>598</v>
      </c>
      <c r="D87" s="29">
        <v>3.1</v>
      </c>
      <c r="E87" s="29">
        <v>5.3</v>
      </c>
      <c r="F87" s="29">
        <v>9.3</v>
      </c>
      <c r="G87" s="29">
        <v>11.1</v>
      </c>
      <c r="H87" s="29"/>
      <c r="I87" s="29"/>
      <c r="J87" s="29"/>
      <c r="K87" s="29">
        <v>0.2</v>
      </c>
      <c r="L87" s="29">
        <v>0.3</v>
      </c>
      <c r="M87" s="29">
        <v>0.2</v>
      </c>
      <c r="N87" s="29">
        <v>0.1</v>
      </c>
      <c r="O87" s="29"/>
      <c r="P87" s="29"/>
      <c r="Q87" s="29"/>
      <c r="R87" s="32">
        <v>2</v>
      </c>
      <c r="S87" s="32">
        <v>32</v>
      </c>
      <c r="T87" s="32">
        <f t="shared" si="0"/>
        <v>32</v>
      </c>
      <c r="W87" s="87" t="s">
        <v>408</v>
      </c>
      <c r="X87" s="78" t="s">
        <v>686</v>
      </c>
    </row>
    <row r="88" ht="26.75" spans="1:24">
      <c r="A88" s="55" t="s">
        <v>695</v>
      </c>
      <c r="B88" s="52">
        <v>52030001</v>
      </c>
      <c r="C88" s="37" t="s">
        <v>598</v>
      </c>
      <c r="D88" s="29">
        <v>1.3</v>
      </c>
      <c r="E88" s="29">
        <v>4.1</v>
      </c>
      <c r="F88" s="29">
        <v>11.2</v>
      </c>
      <c r="G88" s="29"/>
      <c r="H88" s="29"/>
      <c r="I88" s="29"/>
      <c r="J88" s="29"/>
      <c r="K88" s="29">
        <v>0.2</v>
      </c>
      <c r="L88" s="29">
        <v>0.3</v>
      </c>
      <c r="M88" s="29">
        <v>0.1</v>
      </c>
      <c r="N88" s="29"/>
      <c r="O88" s="29"/>
      <c r="P88" s="29"/>
      <c r="Q88" s="29"/>
      <c r="R88" s="32">
        <v>4</v>
      </c>
      <c r="S88" s="32">
        <v>64</v>
      </c>
      <c r="T88" s="32">
        <v>48</v>
      </c>
      <c r="V88" s="32">
        <v>16</v>
      </c>
      <c r="W88" s="87" t="s">
        <v>408</v>
      </c>
      <c r="X88" s="78" t="s">
        <v>686</v>
      </c>
    </row>
    <row r="89" ht="26.75" spans="1:24">
      <c r="A89" s="55" t="s">
        <v>696</v>
      </c>
      <c r="B89" s="52">
        <v>5208072</v>
      </c>
      <c r="C89" s="37" t="s">
        <v>598</v>
      </c>
      <c r="D89" s="29">
        <v>2.3</v>
      </c>
      <c r="E89" s="29">
        <v>3.1</v>
      </c>
      <c r="F89" s="29">
        <v>5.1</v>
      </c>
      <c r="G89" s="29"/>
      <c r="H89" s="29"/>
      <c r="I89" s="29"/>
      <c r="J89" s="29"/>
      <c r="K89" s="29">
        <v>0.1</v>
      </c>
      <c r="L89" s="29">
        <v>0.2</v>
      </c>
      <c r="M89" s="29">
        <v>0.3</v>
      </c>
      <c r="N89" s="29"/>
      <c r="O89" s="29"/>
      <c r="P89" s="29"/>
      <c r="Q89" s="29"/>
      <c r="R89" s="32">
        <v>3</v>
      </c>
      <c r="S89" s="32">
        <v>48</v>
      </c>
      <c r="T89" s="32">
        <f t="shared" si="0"/>
        <v>48</v>
      </c>
      <c r="W89" s="87" t="s">
        <v>408</v>
      </c>
      <c r="X89" s="78" t="s">
        <v>686</v>
      </c>
    </row>
    <row r="90" ht="26.75" spans="1:24">
      <c r="A90" s="55" t="s">
        <v>697</v>
      </c>
      <c r="B90" s="52">
        <v>5208007</v>
      </c>
      <c r="C90" s="37" t="s">
        <v>598</v>
      </c>
      <c r="D90" s="29">
        <v>1.3</v>
      </c>
      <c r="E90" s="29">
        <v>4.4</v>
      </c>
      <c r="F90" s="29">
        <v>6.1</v>
      </c>
      <c r="G90" s="29">
        <v>8.2</v>
      </c>
      <c r="H90" s="29"/>
      <c r="I90" s="29"/>
      <c r="J90" s="29"/>
      <c r="K90" s="29">
        <v>0.1</v>
      </c>
      <c r="L90" s="29">
        <v>0.3</v>
      </c>
      <c r="M90" s="29">
        <v>0.1</v>
      </c>
      <c r="N90" s="29">
        <v>0.1</v>
      </c>
      <c r="O90" s="29"/>
      <c r="P90" s="29"/>
      <c r="Q90" s="29"/>
      <c r="R90" s="32">
        <v>3</v>
      </c>
      <c r="S90" s="32">
        <v>48</v>
      </c>
      <c r="T90" s="32">
        <f t="shared" si="0"/>
        <v>48</v>
      </c>
      <c r="W90" s="87" t="s">
        <v>408</v>
      </c>
      <c r="X90" s="78" t="s">
        <v>686</v>
      </c>
    </row>
    <row r="91" ht="26.75" spans="1:24">
      <c r="A91" s="55" t="s">
        <v>698</v>
      </c>
      <c r="B91" s="52">
        <v>5208025</v>
      </c>
      <c r="C91" s="37" t="s">
        <v>598</v>
      </c>
      <c r="D91" s="29">
        <v>1.4</v>
      </c>
      <c r="E91" s="29">
        <v>5.1</v>
      </c>
      <c r="F91" s="29">
        <v>8.2</v>
      </c>
      <c r="G91" s="29"/>
      <c r="H91" s="29"/>
      <c r="I91" s="29"/>
      <c r="J91" s="29"/>
      <c r="K91" s="29">
        <v>0.3</v>
      </c>
      <c r="L91" s="29">
        <v>0.1</v>
      </c>
      <c r="M91" s="29">
        <v>0.2</v>
      </c>
      <c r="N91" s="29"/>
      <c r="O91" s="29"/>
      <c r="P91" s="29"/>
      <c r="Q91" s="29"/>
      <c r="R91" s="32">
        <v>4</v>
      </c>
      <c r="S91" s="32">
        <v>48</v>
      </c>
      <c r="T91" s="32">
        <f t="shared" si="0"/>
        <v>48</v>
      </c>
      <c r="W91" s="87" t="s">
        <v>408</v>
      </c>
      <c r="X91" s="78" t="s">
        <v>686</v>
      </c>
    </row>
    <row r="92" ht="36.75" spans="1:24">
      <c r="A92" s="55" t="s">
        <v>699</v>
      </c>
      <c r="B92" s="52">
        <v>5208301</v>
      </c>
      <c r="C92" s="37" t="s">
        <v>598</v>
      </c>
      <c r="D92" s="29">
        <v>1.1</v>
      </c>
      <c r="E92" s="29">
        <v>1.4</v>
      </c>
      <c r="F92" s="29">
        <v>6.1</v>
      </c>
      <c r="G92" s="29">
        <v>8.3</v>
      </c>
      <c r="H92" s="29">
        <v>11.1</v>
      </c>
      <c r="I92" s="29"/>
      <c r="J92" s="29"/>
      <c r="K92" s="29">
        <v>0.1</v>
      </c>
      <c r="L92" s="29">
        <v>0.3</v>
      </c>
      <c r="M92" s="29">
        <v>0.3</v>
      </c>
      <c r="N92" s="29">
        <v>0.2</v>
      </c>
      <c r="O92" s="29">
        <v>0.2</v>
      </c>
      <c r="P92" s="29"/>
      <c r="Q92" s="29"/>
      <c r="R92" s="32">
        <v>2</v>
      </c>
      <c r="S92" s="32">
        <v>32</v>
      </c>
      <c r="T92" s="32">
        <f t="shared" si="0"/>
        <v>32</v>
      </c>
      <c r="W92" s="87" t="s">
        <v>408</v>
      </c>
      <c r="X92" s="78" t="s">
        <v>686</v>
      </c>
    </row>
    <row r="93" ht="24.75" spans="1:24">
      <c r="A93" s="55" t="s">
        <v>700</v>
      </c>
      <c r="B93" s="52">
        <v>5208311</v>
      </c>
      <c r="C93" s="37" t="s">
        <v>598</v>
      </c>
      <c r="D93" s="29">
        <v>1.2</v>
      </c>
      <c r="E93" s="29">
        <v>2.4</v>
      </c>
      <c r="F93" s="29">
        <v>3.3</v>
      </c>
      <c r="G93" s="29">
        <v>4.4</v>
      </c>
      <c r="H93" s="29"/>
      <c r="I93" s="29"/>
      <c r="J93" s="29"/>
      <c r="K93" s="29">
        <v>0.1</v>
      </c>
      <c r="L93" s="29">
        <v>0.2</v>
      </c>
      <c r="M93" s="29">
        <v>0.1</v>
      </c>
      <c r="N93" s="29">
        <v>0.3</v>
      </c>
      <c r="O93" s="29"/>
      <c r="P93" s="29"/>
      <c r="Q93" s="29"/>
      <c r="R93" s="32">
        <v>2</v>
      </c>
      <c r="S93" s="32">
        <v>32</v>
      </c>
      <c r="T93" s="32">
        <f t="shared" si="0"/>
        <v>32</v>
      </c>
      <c r="W93" s="33" t="s">
        <v>407</v>
      </c>
      <c r="X93" s="88" t="s">
        <v>701</v>
      </c>
    </row>
    <row r="94" ht="36.75" spans="1:24">
      <c r="A94" s="55" t="s">
        <v>702</v>
      </c>
      <c r="B94" s="52">
        <v>5208303</v>
      </c>
      <c r="C94" s="37" t="s">
        <v>598</v>
      </c>
      <c r="D94" s="29">
        <v>1.4</v>
      </c>
      <c r="E94" s="29">
        <v>2.2</v>
      </c>
      <c r="F94" s="29">
        <v>6.1</v>
      </c>
      <c r="G94" s="29">
        <v>8.2</v>
      </c>
      <c r="H94" s="29"/>
      <c r="I94" s="29"/>
      <c r="J94" s="29"/>
      <c r="K94" s="29">
        <v>0.2</v>
      </c>
      <c r="L94" s="29">
        <v>0.1</v>
      </c>
      <c r="M94" s="29">
        <v>0.3</v>
      </c>
      <c r="N94" s="29">
        <v>0.1</v>
      </c>
      <c r="O94" s="29"/>
      <c r="P94" s="29"/>
      <c r="Q94" s="29"/>
      <c r="R94" s="32">
        <v>2</v>
      </c>
      <c r="S94" s="32">
        <v>32</v>
      </c>
      <c r="T94" s="32">
        <f t="shared" si="0"/>
        <v>32</v>
      </c>
      <c r="W94" s="33" t="s">
        <v>407</v>
      </c>
      <c r="X94" s="78" t="s">
        <v>701</v>
      </c>
    </row>
    <row r="95" ht="36.75" spans="1:24">
      <c r="A95" s="55" t="s">
        <v>703</v>
      </c>
      <c r="B95" s="52">
        <v>5208094</v>
      </c>
      <c r="C95" s="37" t="s">
        <v>598</v>
      </c>
      <c r="D95" s="29">
        <v>4.2</v>
      </c>
      <c r="E95" s="29">
        <v>8.1</v>
      </c>
      <c r="F95" s="29">
        <v>11.3</v>
      </c>
      <c r="G95" s="29"/>
      <c r="H95" s="29"/>
      <c r="I95" s="29"/>
      <c r="J95" s="29"/>
      <c r="K95" s="29">
        <v>0.2</v>
      </c>
      <c r="L95" s="29">
        <v>0.3</v>
      </c>
      <c r="M95" s="29">
        <v>0.2</v>
      </c>
      <c r="N95" s="29"/>
      <c r="O95" s="29"/>
      <c r="P95" s="29"/>
      <c r="Q95" s="29"/>
      <c r="R95" s="32">
        <v>2</v>
      </c>
      <c r="S95" s="32">
        <v>32</v>
      </c>
      <c r="T95" s="32">
        <f t="shared" si="0"/>
        <v>32</v>
      </c>
      <c r="W95" s="33" t="s">
        <v>407</v>
      </c>
      <c r="X95" s="88" t="s">
        <v>701</v>
      </c>
    </row>
    <row r="96" ht="24.75" spans="1:24">
      <c r="A96" s="55" t="s">
        <v>704</v>
      </c>
      <c r="B96" s="52">
        <v>42020002</v>
      </c>
      <c r="C96" s="37" t="s">
        <v>598</v>
      </c>
      <c r="D96" s="29">
        <v>1.4</v>
      </c>
      <c r="E96" s="29">
        <v>3.2</v>
      </c>
      <c r="F96" s="29">
        <v>5.1</v>
      </c>
      <c r="G96" s="29"/>
      <c r="H96" s="29"/>
      <c r="I96" s="29"/>
      <c r="J96" s="29"/>
      <c r="K96" s="29">
        <v>0.1</v>
      </c>
      <c r="L96" s="29">
        <v>0.2</v>
      </c>
      <c r="M96" s="29">
        <v>0.3</v>
      </c>
      <c r="N96" s="29"/>
      <c r="O96" s="29"/>
      <c r="P96" s="29"/>
      <c r="Q96" s="29"/>
      <c r="R96" s="32">
        <v>3</v>
      </c>
      <c r="S96" s="32">
        <v>48</v>
      </c>
      <c r="T96" s="32">
        <v>32</v>
      </c>
      <c r="V96" s="32">
        <v>16</v>
      </c>
      <c r="W96" s="33" t="s">
        <v>407</v>
      </c>
      <c r="X96" s="78" t="s">
        <v>701</v>
      </c>
    </row>
    <row r="97" ht="24.75" spans="1:24">
      <c r="A97" s="55" t="s">
        <v>32</v>
      </c>
      <c r="B97" s="52">
        <v>52080105</v>
      </c>
      <c r="C97" s="37" t="s">
        <v>598</v>
      </c>
      <c r="D97" s="29">
        <v>2.3</v>
      </c>
      <c r="E97" s="29">
        <v>3.4</v>
      </c>
      <c r="F97" s="29">
        <v>5.3</v>
      </c>
      <c r="G97" s="29"/>
      <c r="H97" s="29"/>
      <c r="I97" s="29"/>
      <c r="J97" s="29"/>
      <c r="K97" s="29">
        <v>0.3</v>
      </c>
      <c r="L97" s="29">
        <v>0.1</v>
      </c>
      <c r="M97" s="29">
        <v>0.2</v>
      </c>
      <c r="N97" s="29"/>
      <c r="O97" s="29"/>
      <c r="P97" s="29"/>
      <c r="Q97" s="29"/>
      <c r="R97" s="32">
        <v>3</v>
      </c>
      <c r="S97" s="32">
        <v>48</v>
      </c>
      <c r="T97" s="32">
        <v>32</v>
      </c>
      <c r="V97" s="32">
        <v>16</v>
      </c>
      <c r="W97" s="33" t="s">
        <v>407</v>
      </c>
      <c r="X97" s="88" t="s">
        <v>701</v>
      </c>
    </row>
    <row r="98" ht="24.75" spans="1:24">
      <c r="A98" s="55" t="s">
        <v>705</v>
      </c>
      <c r="B98" s="52">
        <v>5208562</v>
      </c>
      <c r="C98" s="37" t="s">
        <v>598</v>
      </c>
      <c r="D98" s="29">
        <v>1.3</v>
      </c>
      <c r="E98" s="29">
        <v>3.1</v>
      </c>
      <c r="F98" s="29">
        <v>9.1</v>
      </c>
      <c r="G98" s="29">
        <v>11.1</v>
      </c>
      <c r="H98" s="29"/>
      <c r="I98" s="29"/>
      <c r="J98" s="29"/>
      <c r="K98" s="29">
        <v>0.2</v>
      </c>
      <c r="L98" s="29">
        <v>0.1</v>
      </c>
      <c r="M98" s="29">
        <v>0.3</v>
      </c>
      <c r="N98" s="29">
        <v>0.2</v>
      </c>
      <c r="O98" s="29"/>
      <c r="P98" s="29"/>
      <c r="Q98" s="29"/>
      <c r="R98" s="32">
        <v>2</v>
      </c>
      <c r="S98" s="32">
        <v>32</v>
      </c>
      <c r="T98" s="32">
        <f>S98</f>
        <v>32</v>
      </c>
      <c r="W98" s="33" t="s">
        <v>407</v>
      </c>
      <c r="X98" s="78" t="s">
        <v>701</v>
      </c>
    </row>
    <row r="99" ht="24.75" spans="1:24">
      <c r="A99" s="55" t="s">
        <v>706</v>
      </c>
      <c r="B99" s="52">
        <v>52030101</v>
      </c>
      <c r="C99" s="37" t="s">
        <v>598</v>
      </c>
      <c r="D99" s="29">
        <v>4.2</v>
      </c>
      <c r="E99" s="29">
        <v>6.2</v>
      </c>
      <c r="F99" s="29">
        <v>8.2</v>
      </c>
      <c r="G99" s="29"/>
      <c r="H99" s="29"/>
      <c r="I99" s="29"/>
      <c r="J99" s="29"/>
      <c r="K99" s="29">
        <v>0.3</v>
      </c>
      <c r="L99" s="29">
        <v>0.2</v>
      </c>
      <c r="M99" s="29">
        <v>0.3</v>
      </c>
      <c r="N99" s="29"/>
      <c r="O99" s="29"/>
      <c r="P99" s="29"/>
      <c r="Q99" s="29"/>
      <c r="R99" s="32">
        <v>3</v>
      </c>
      <c r="S99" s="32">
        <v>48</v>
      </c>
      <c r="T99" s="32">
        <v>32</v>
      </c>
      <c r="V99" s="32">
        <v>16</v>
      </c>
      <c r="W99" s="33" t="s">
        <v>407</v>
      </c>
      <c r="X99" s="88" t="s">
        <v>701</v>
      </c>
    </row>
    <row r="100" ht="24.75" spans="1:24">
      <c r="A100" s="55" t="s">
        <v>707</v>
      </c>
      <c r="B100" s="52">
        <v>11014101</v>
      </c>
      <c r="C100" s="37" t="s">
        <v>598</v>
      </c>
      <c r="D100" s="29">
        <v>1.3</v>
      </c>
      <c r="E100" s="29">
        <v>5.3</v>
      </c>
      <c r="F100" s="29">
        <v>9.3</v>
      </c>
      <c r="G100" s="29"/>
      <c r="H100" s="29"/>
      <c r="I100" s="29"/>
      <c r="J100" s="29"/>
      <c r="K100" s="29">
        <v>0.3</v>
      </c>
      <c r="L100" s="29">
        <v>0.1</v>
      </c>
      <c r="M100" s="29">
        <v>0.2</v>
      </c>
      <c r="N100" s="29"/>
      <c r="O100" s="29"/>
      <c r="P100" s="29"/>
      <c r="Q100" s="29"/>
      <c r="R100" s="32">
        <v>3</v>
      </c>
      <c r="S100" s="32">
        <v>48</v>
      </c>
      <c r="T100" s="32">
        <v>32</v>
      </c>
      <c r="V100" s="32">
        <v>16</v>
      </c>
      <c r="W100" s="33" t="s">
        <v>407</v>
      </c>
      <c r="X100" s="78" t="s">
        <v>701</v>
      </c>
    </row>
    <row r="101" ht="36.75" spans="1:24">
      <c r="A101" s="55" t="s">
        <v>708</v>
      </c>
      <c r="B101" s="52">
        <v>52083001</v>
      </c>
      <c r="C101" s="37" t="s">
        <v>598</v>
      </c>
      <c r="D101" s="29">
        <v>2.3</v>
      </c>
      <c r="E101" s="29">
        <v>5.1</v>
      </c>
      <c r="F101" s="29">
        <v>6.2</v>
      </c>
      <c r="G101" s="29"/>
      <c r="H101" s="29"/>
      <c r="I101" s="29"/>
      <c r="J101" s="29"/>
      <c r="K101" s="29">
        <v>0.1</v>
      </c>
      <c r="L101" s="29">
        <v>0.2</v>
      </c>
      <c r="M101" s="29">
        <v>0.3</v>
      </c>
      <c r="N101" s="29"/>
      <c r="O101" s="29"/>
      <c r="P101" s="29"/>
      <c r="Q101" s="29"/>
      <c r="R101" s="32">
        <v>2</v>
      </c>
      <c r="S101" s="32">
        <v>32</v>
      </c>
      <c r="T101" s="32">
        <f>S101</f>
        <v>32</v>
      </c>
      <c r="W101" s="33" t="s">
        <v>407</v>
      </c>
      <c r="X101" s="88" t="s">
        <v>701</v>
      </c>
    </row>
    <row r="102" ht="36.75" spans="1:24">
      <c r="A102" s="55" t="s">
        <v>709</v>
      </c>
      <c r="B102" s="52">
        <v>5208313</v>
      </c>
      <c r="C102" s="37" t="s">
        <v>598</v>
      </c>
      <c r="D102" s="29">
        <v>1.3</v>
      </c>
      <c r="E102" s="29">
        <v>2.4</v>
      </c>
      <c r="F102" s="29">
        <v>7.2</v>
      </c>
      <c r="G102" s="29"/>
      <c r="H102" s="29"/>
      <c r="I102" s="29"/>
      <c r="J102" s="29"/>
      <c r="K102" s="29">
        <v>0.2</v>
      </c>
      <c r="L102" s="29">
        <v>0.3</v>
      </c>
      <c r="M102" s="29">
        <v>0.1</v>
      </c>
      <c r="N102" s="29"/>
      <c r="O102" s="29"/>
      <c r="P102" s="29"/>
      <c r="Q102" s="29"/>
      <c r="R102" s="32">
        <v>2</v>
      </c>
      <c r="S102" s="32">
        <v>32</v>
      </c>
      <c r="T102" s="32">
        <f>S102</f>
        <v>32</v>
      </c>
      <c r="W102" s="33" t="s">
        <v>407</v>
      </c>
      <c r="X102" s="78" t="s">
        <v>701</v>
      </c>
    </row>
    <row r="103" ht="36.75" spans="1:24">
      <c r="A103" s="55" t="s">
        <v>710</v>
      </c>
      <c r="B103" s="52">
        <v>5204212</v>
      </c>
      <c r="C103" s="37" t="s">
        <v>598</v>
      </c>
      <c r="D103" s="29">
        <v>5.2</v>
      </c>
      <c r="E103" s="29">
        <v>6.1</v>
      </c>
      <c r="F103" s="29">
        <v>8.1</v>
      </c>
      <c r="G103" s="29">
        <v>10.1</v>
      </c>
      <c r="H103" s="29">
        <v>10.2</v>
      </c>
      <c r="I103" s="29"/>
      <c r="J103" s="29"/>
      <c r="K103" s="29">
        <v>0.2</v>
      </c>
      <c r="L103" s="29">
        <v>0.1</v>
      </c>
      <c r="M103" s="29">
        <v>0.3</v>
      </c>
      <c r="N103" s="29">
        <v>0.1</v>
      </c>
      <c r="O103" s="29">
        <v>0.3</v>
      </c>
      <c r="P103" s="29"/>
      <c r="Q103" s="29"/>
      <c r="R103" s="32">
        <v>1</v>
      </c>
      <c r="S103" s="32">
        <v>32</v>
      </c>
      <c r="T103" s="32">
        <v>0</v>
      </c>
      <c r="V103" s="32">
        <v>32</v>
      </c>
      <c r="W103" s="33" t="s">
        <v>410</v>
      </c>
      <c r="X103" s="78" t="s">
        <v>711</v>
      </c>
    </row>
    <row r="104" ht="24.75" spans="1:24">
      <c r="A104" s="55" t="s">
        <v>712</v>
      </c>
      <c r="B104" s="52">
        <v>1409903</v>
      </c>
      <c r="C104" s="37" t="s">
        <v>598</v>
      </c>
      <c r="D104" s="29">
        <v>2.3</v>
      </c>
      <c r="E104" s="29">
        <v>5.1</v>
      </c>
      <c r="F104" s="29">
        <v>9.2</v>
      </c>
      <c r="G104" s="29">
        <v>10.3</v>
      </c>
      <c r="H104" s="29">
        <v>11.2</v>
      </c>
      <c r="I104" s="29"/>
      <c r="J104" s="29"/>
      <c r="K104" s="29">
        <v>0.1</v>
      </c>
      <c r="L104" s="29">
        <v>0.1</v>
      </c>
      <c r="M104" s="29">
        <v>0.1</v>
      </c>
      <c r="N104" s="29">
        <v>0.2</v>
      </c>
      <c r="O104" s="29">
        <v>0.2</v>
      </c>
      <c r="P104" s="29"/>
      <c r="Q104" s="29"/>
      <c r="R104" s="32">
        <v>1</v>
      </c>
      <c r="S104" s="32">
        <v>32</v>
      </c>
      <c r="T104" s="32">
        <v>0</v>
      </c>
      <c r="U104" s="32">
        <v>32</v>
      </c>
      <c r="W104" s="33" t="s">
        <v>409</v>
      </c>
      <c r="X104" s="78" t="s">
        <v>713</v>
      </c>
    </row>
    <row r="105" ht="36.75" spans="1:25">
      <c r="A105" s="55" t="s">
        <v>714</v>
      </c>
      <c r="B105" s="82">
        <v>5208010</v>
      </c>
      <c r="C105" s="37" t="s">
        <v>598</v>
      </c>
      <c r="D105" s="29">
        <v>2.3</v>
      </c>
      <c r="E105" s="29">
        <v>3.3</v>
      </c>
      <c r="F105" s="29">
        <v>9.1</v>
      </c>
      <c r="G105" s="29">
        <v>10.1</v>
      </c>
      <c r="H105" s="29"/>
      <c r="I105" s="29"/>
      <c r="J105" s="29"/>
      <c r="K105" s="29">
        <v>0.1</v>
      </c>
      <c r="L105" s="29">
        <v>0.3</v>
      </c>
      <c r="M105" s="29">
        <v>0.2</v>
      </c>
      <c r="N105" s="29">
        <v>0.1</v>
      </c>
      <c r="O105" s="29"/>
      <c r="P105" s="29"/>
      <c r="Q105" s="29"/>
      <c r="R105" s="32">
        <v>1</v>
      </c>
      <c r="S105" s="32">
        <v>32</v>
      </c>
      <c r="T105" s="32">
        <v>0</v>
      </c>
      <c r="V105" s="32">
        <v>32</v>
      </c>
      <c r="W105" s="33" t="s">
        <v>410</v>
      </c>
      <c r="X105" s="78" t="s">
        <v>711</v>
      </c>
      <c r="Y105" s="31" t="s">
        <v>715</v>
      </c>
    </row>
    <row r="106" ht="36.75" spans="1:24">
      <c r="A106" s="55" t="s">
        <v>716</v>
      </c>
      <c r="B106" s="52">
        <v>5208003</v>
      </c>
      <c r="C106" s="37" t="s">
        <v>598</v>
      </c>
      <c r="D106" s="29">
        <v>2.2</v>
      </c>
      <c r="E106" s="29">
        <v>3.2</v>
      </c>
      <c r="F106" s="29">
        <v>4.3</v>
      </c>
      <c r="G106" s="29">
        <v>11.3</v>
      </c>
      <c r="H106" s="29"/>
      <c r="I106" s="29"/>
      <c r="J106" s="29"/>
      <c r="K106" s="29">
        <v>0.1</v>
      </c>
      <c r="L106" s="29">
        <v>0.1</v>
      </c>
      <c r="M106" s="29">
        <v>0.1</v>
      </c>
      <c r="N106" s="29">
        <v>0.2</v>
      </c>
      <c r="O106" s="29"/>
      <c r="P106" s="29"/>
      <c r="Q106" s="29"/>
      <c r="R106" s="32">
        <v>1</v>
      </c>
      <c r="S106" s="32">
        <v>32</v>
      </c>
      <c r="T106" s="32">
        <v>0</v>
      </c>
      <c r="V106" s="32">
        <v>32</v>
      </c>
      <c r="W106" s="33" t="s">
        <v>410</v>
      </c>
      <c r="X106" s="78" t="s">
        <v>711</v>
      </c>
    </row>
    <row r="107" ht="36.75" spans="1:24">
      <c r="A107" s="55" t="s">
        <v>717</v>
      </c>
      <c r="B107" s="52">
        <v>52010005</v>
      </c>
      <c r="C107" s="37" t="s">
        <v>598</v>
      </c>
      <c r="D107" s="29">
        <v>2.3</v>
      </c>
      <c r="E107" s="29">
        <v>4.2</v>
      </c>
      <c r="F107" s="29">
        <v>5.2</v>
      </c>
      <c r="G107" s="29"/>
      <c r="H107" s="29"/>
      <c r="I107" s="29"/>
      <c r="J107" s="29"/>
      <c r="K107" s="29">
        <v>0.2</v>
      </c>
      <c r="L107" s="29">
        <v>0.1</v>
      </c>
      <c r="M107" s="29">
        <v>0.1</v>
      </c>
      <c r="N107" s="29"/>
      <c r="O107" s="29"/>
      <c r="P107" s="29"/>
      <c r="Q107" s="29"/>
      <c r="R107" s="32">
        <v>0.5</v>
      </c>
      <c r="S107" s="32">
        <v>16</v>
      </c>
      <c r="T107" s="32">
        <v>0</v>
      </c>
      <c r="V107" s="32">
        <v>16</v>
      </c>
      <c r="W107" s="33" t="s">
        <v>410</v>
      </c>
      <c r="X107" s="78" t="s">
        <v>711</v>
      </c>
    </row>
    <row r="108" ht="36.75" spans="1:24">
      <c r="A108" s="55" t="s">
        <v>718</v>
      </c>
      <c r="B108" s="52">
        <v>5208073</v>
      </c>
      <c r="C108" s="37" t="s">
        <v>598</v>
      </c>
      <c r="D108" s="29">
        <v>3.3</v>
      </c>
      <c r="E108" s="29">
        <v>4.2</v>
      </c>
      <c r="F108" s="29">
        <v>10.2</v>
      </c>
      <c r="G108" s="29">
        <v>10.3</v>
      </c>
      <c r="H108" s="29"/>
      <c r="I108" s="29"/>
      <c r="J108" s="29"/>
      <c r="K108" s="29">
        <v>0.1</v>
      </c>
      <c r="L108" s="29">
        <v>0.1</v>
      </c>
      <c r="M108" s="29">
        <v>0.3</v>
      </c>
      <c r="N108" s="29">
        <v>0.1</v>
      </c>
      <c r="O108" s="29"/>
      <c r="P108" s="29"/>
      <c r="Q108" s="29"/>
      <c r="R108" s="32">
        <v>0.5</v>
      </c>
      <c r="S108" s="32">
        <v>16</v>
      </c>
      <c r="T108" s="32">
        <v>0</v>
      </c>
      <c r="V108" s="32">
        <v>16</v>
      </c>
      <c r="W108" s="33" t="s">
        <v>410</v>
      </c>
      <c r="X108" s="78" t="s">
        <v>711</v>
      </c>
    </row>
    <row r="109" ht="36.75" spans="1:24">
      <c r="A109" s="55" t="s">
        <v>719</v>
      </c>
      <c r="B109" s="52">
        <v>5208008</v>
      </c>
      <c r="C109" s="37" t="s">
        <v>598</v>
      </c>
      <c r="D109" s="29">
        <v>2.4</v>
      </c>
      <c r="E109" s="29">
        <v>3.2</v>
      </c>
      <c r="F109" s="29">
        <v>4.1</v>
      </c>
      <c r="G109" s="29">
        <v>5.2</v>
      </c>
      <c r="H109" s="29"/>
      <c r="I109" s="29"/>
      <c r="J109" s="29"/>
      <c r="K109" s="29">
        <v>0.2</v>
      </c>
      <c r="L109" s="29">
        <v>0.1</v>
      </c>
      <c r="M109" s="29">
        <v>0.3</v>
      </c>
      <c r="N109" s="29">
        <v>0.1</v>
      </c>
      <c r="O109" s="29"/>
      <c r="P109" s="29"/>
      <c r="Q109" s="29"/>
      <c r="R109" s="32">
        <v>0.5</v>
      </c>
      <c r="S109" s="32">
        <v>16</v>
      </c>
      <c r="T109" s="32">
        <v>0</v>
      </c>
      <c r="V109" s="32">
        <v>16</v>
      </c>
      <c r="W109" s="33" t="s">
        <v>410</v>
      </c>
      <c r="X109" s="78" t="s">
        <v>711</v>
      </c>
    </row>
    <row r="110" ht="36.75" spans="1:24">
      <c r="A110" s="55" t="s">
        <v>720</v>
      </c>
      <c r="B110" s="52">
        <v>5208026</v>
      </c>
      <c r="C110" s="37" t="s">
        <v>598</v>
      </c>
      <c r="D110" s="29">
        <v>2.1</v>
      </c>
      <c r="E110" s="29">
        <v>4.1</v>
      </c>
      <c r="F110" s="29">
        <v>4.3</v>
      </c>
      <c r="G110" s="29"/>
      <c r="H110" s="29"/>
      <c r="I110" s="29"/>
      <c r="J110" s="29"/>
      <c r="K110" s="29">
        <v>0.3</v>
      </c>
      <c r="L110" s="29">
        <v>0.1</v>
      </c>
      <c r="M110" s="29">
        <v>0.2</v>
      </c>
      <c r="N110" s="29"/>
      <c r="O110" s="29"/>
      <c r="P110" s="29"/>
      <c r="Q110" s="29"/>
      <c r="R110" s="32">
        <v>0.5</v>
      </c>
      <c r="S110" s="32">
        <v>16</v>
      </c>
      <c r="T110" s="32">
        <v>0</v>
      </c>
      <c r="V110" s="32">
        <v>16</v>
      </c>
      <c r="W110" s="33" t="s">
        <v>410</v>
      </c>
      <c r="X110" s="78" t="s">
        <v>711</v>
      </c>
    </row>
    <row r="111" ht="48.75" spans="1:24">
      <c r="A111" s="55" t="s">
        <v>721</v>
      </c>
      <c r="B111" s="52">
        <v>52083002</v>
      </c>
      <c r="C111" s="37" t="s">
        <v>598</v>
      </c>
      <c r="D111" s="29">
        <v>3.1</v>
      </c>
      <c r="E111" s="29">
        <v>9.1</v>
      </c>
      <c r="F111" s="29">
        <v>11.3</v>
      </c>
      <c r="G111" s="29">
        <v>12.2</v>
      </c>
      <c r="H111" s="29"/>
      <c r="I111" s="29"/>
      <c r="J111" s="29"/>
      <c r="K111" s="29">
        <v>0.1</v>
      </c>
      <c r="L111" s="29">
        <v>0.3</v>
      </c>
      <c r="M111" s="29">
        <v>0.2</v>
      </c>
      <c r="N111" s="29">
        <v>0.3</v>
      </c>
      <c r="O111" s="29"/>
      <c r="P111" s="29"/>
      <c r="Q111" s="29"/>
      <c r="R111" s="32">
        <v>1</v>
      </c>
      <c r="S111" s="32">
        <v>32</v>
      </c>
      <c r="T111" s="32">
        <v>0</v>
      </c>
      <c r="V111" s="32">
        <v>32</v>
      </c>
      <c r="W111" s="33" t="s">
        <v>410</v>
      </c>
      <c r="X111" s="88" t="s">
        <v>711</v>
      </c>
    </row>
    <row r="112" ht="36.75" spans="1:24">
      <c r="A112" s="55" t="s">
        <v>722</v>
      </c>
      <c r="B112" s="52">
        <v>5208312</v>
      </c>
      <c r="C112" s="37" t="s">
        <v>598</v>
      </c>
      <c r="D112" s="29">
        <v>2.1</v>
      </c>
      <c r="E112" s="29">
        <v>3.2</v>
      </c>
      <c r="F112" s="29">
        <v>5.2</v>
      </c>
      <c r="G112" s="29">
        <v>9.1</v>
      </c>
      <c r="H112" s="29">
        <v>10.1</v>
      </c>
      <c r="I112" s="29"/>
      <c r="J112" s="29"/>
      <c r="K112" s="29">
        <v>0.2</v>
      </c>
      <c r="L112" s="29">
        <v>0.2</v>
      </c>
      <c r="M112" s="29">
        <v>0.3</v>
      </c>
      <c r="N112" s="29">
        <v>0.1</v>
      </c>
      <c r="O112" s="29">
        <v>0.1</v>
      </c>
      <c r="P112" s="29"/>
      <c r="Q112" s="29"/>
      <c r="R112" s="32">
        <v>1</v>
      </c>
      <c r="S112" s="32">
        <v>32</v>
      </c>
      <c r="T112" s="32">
        <v>0</v>
      </c>
      <c r="V112" s="32">
        <v>32</v>
      </c>
      <c r="W112" s="33" t="s">
        <v>410</v>
      </c>
      <c r="X112" s="78" t="s">
        <v>711</v>
      </c>
    </row>
    <row r="113" ht="36.75" spans="1:24">
      <c r="A113" s="55" t="s">
        <v>723</v>
      </c>
      <c r="B113" s="52">
        <v>5208304</v>
      </c>
      <c r="C113" s="37" t="s">
        <v>598</v>
      </c>
      <c r="D113" s="29">
        <v>2.1</v>
      </c>
      <c r="E113" s="29">
        <v>4.3</v>
      </c>
      <c r="F113" s="29">
        <v>9.2</v>
      </c>
      <c r="G113" s="29"/>
      <c r="H113" s="29"/>
      <c r="I113" s="29"/>
      <c r="J113" s="29"/>
      <c r="K113" s="29">
        <v>0.1</v>
      </c>
      <c r="L113" s="29">
        <v>0.3</v>
      </c>
      <c r="M113" s="29">
        <v>0.3</v>
      </c>
      <c r="N113" s="29"/>
      <c r="O113" s="29"/>
      <c r="P113" s="29"/>
      <c r="Q113" s="29"/>
      <c r="R113" s="32">
        <v>1</v>
      </c>
      <c r="S113" s="32">
        <v>32</v>
      </c>
      <c r="T113" s="32">
        <v>0</v>
      </c>
      <c r="V113" s="32">
        <v>32</v>
      </c>
      <c r="W113" s="33" t="s">
        <v>410</v>
      </c>
      <c r="X113" s="78" t="s">
        <v>711</v>
      </c>
    </row>
    <row r="114" ht="48.75" spans="1:24">
      <c r="A114" s="55" t="s">
        <v>724</v>
      </c>
      <c r="B114" s="52">
        <v>5208095</v>
      </c>
      <c r="C114" s="37" t="s">
        <v>598</v>
      </c>
      <c r="D114" s="29">
        <v>3.4</v>
      </c>
      <c r="E114" s="29">
        <v>5.2</v>
      </c>
      <c r="F114" s="29">
        <v>7.2</v>
      </c>
      <c r="G114" s="29">
        <v>8.3</v>
      </c>
      <c r="H114" s="29"/>
      <c r="I114" s="29"/>
      <c r="J114" s="29"/>
      <c r="K114" s="29">
        <v>0.3</v>
      </c>
      <c r="L114" s="29">
        <v>0.2</v>
      </c>
      <c r="M114" s="29">
        <v>0.1</v>
      </c>
      <c r="N114" s="29">
        <v>0.2</v>
      </c>
      <c r="O114" s="29"/>
      <c r="P114" s="29"/>
      <c r="Q114" s="29"/>
      <c r="R114" s="32">
        <v>1</v>
      </c>
      <c r="S114" s="32">
        <v>32</v>
      </c>
      <c r="T114" s="32">
        <v>0</v>
      </c>
      <c r="V114" s="32">
        <v>32</v>
      </c>
      <c r="W114" s="33" t="s">
        <v>410</v>
      </c>
      <c r="X114" s="78" t="s">
        <v>711</v>
      </c>
    </row>
    <row r="115" ht="36.75" spans="1:24">
      <c r="A115" s="55" t="s">
        <v>725</v>
      </c>
      <c r="B115" s="52">
        <v>5208563</v>
      </c>
      <c r="C115" s="37" t="s">
        <v>598</v>
      </c>
      <c r="D115" s="29">
        <v>3.3</v>
      </c>
      <c r="E115" s="29">
        <v>9.3</v>
      </c>
      <c r="F115" s="29">
        <v>11.2</v>
      </c>
      <c r="G115" s="29"/>
      <c r="H115" s="29"/>
      <c r="I115" s="29"/>
      <c r="J115" s="29"/>
      <c r="K115" s="29">
        <v>0.1</v>
      </c>
      <c r="L115" s="29">
        <v>0.2</v>
      </c>
      <c r="M115" s="29">
        <v>0.3</v>
      </c>
      <c r="N115" s="29"/>
      <c r="O115" s="29"/>
      <c r="P115" s="29"/>
      <c r="Q115" s="29"/>
      <c r="R115" s="32">
        <v>1</v>
      </c>
      <c r="S115" s="32">
        <v>32</v>
      </c>
      <c r="T115" s="32">
        <v>0</v>
      </c>
      <c r="V115" s="32">
        <v>32</v>
      </c>
      <c r="W115" s="33" t="s">
        <v>410</v>
      </c>
      <c r="X115" s="78" t="s">
        <v>711</v>
      </c>
    </row>
    <row r="116" ht="48.75" spans="1:24">
      <c r="A116" s="55" t="s">
        <v>726</v>
      </c>
      <c r="B116" s="52">
        <v>5208314</v>
      </c>
      <c r="C116" s="37" t="s">
        <v>598</v>
      </c>
      <c r="D116" s="29">
        <v>3.2</v>
      </c>
      <c r="E116" s="29">
        <v>4.2</v>
      </c>
      <c r="F116" s="29">
        <v>10.3</v>
      </c>
      <c r="G116" s="29">
        <v>11.3</v>
      </c>
      <c r="H116" s="29"/>
      <c r="I116" s="29"/>
      <c r="J116" s="29"/>
      <c r="K116" s="29">
        <v>0.1</v>
      </c>
      <c r="L116" s="29">
        <v>0.3</v>
      </c>
      <c r="M116" s="29">
        <v>0.1</v>
      </c>
      <c r="N116" s="29">
        <v>0.1</v>
      </c>
      <c r="O116" s="29"/>
      <c r="P116" s="29"/>
      <c r="Q116" s="29"/>
      <c r="R116" s="32">
        <v>1</v>
      </c>
      <c r="S116" s="32">
        <v>32</v>
      </c>
      <c r="T116" s="32">
        <v>0</v>
      </c>
      <c r="V116" s="32">
        <v>32</v>
      </c>
      <c r="W116" s="33" t="s">
        <v>410</v>
      </c>
      <c r="X116" s="78" t="s">
        <v>711</v>
      </c>
    </row>
    <row r="117" ht="36.75" spans="1:24">
      <c r="A117" s="55" t="s">
        <v>727</v>
      </c>
      <c r="B117" s="52">
        <v>5208028</v>
      </c>
      <c r="C117" s="37" t="s">
        <v>598</v>
      </c>
      <c r="D117" s="29">
        <v>3.4</v>
      </c>
      <c r="E117" s="29">
        <v>4.1</v>
      </c>
      <c r="F117" s="29">
        <v>9.2</v>
      </c>
      <c r="G117" s="29">
        <v>11.1</v>
      </c>
      <c r="H117" s="29">
        <v>11.3</v>
      </c>
      <c r="I117" s="29"/>
      <c r="J117" s="29"/>
      <c r="K117" s="29">
        <v>0.2</v>
      </c>
      <c r="L117" s="29">
        <v>0.1</v>
      </c>
      <c r="M117" s="29">
        <v>0.3</v>
      </c>
      <c r="N117" s="29">
        <v>0.2</v>
      </c>
      <c r="O117" s="29">
        <v>0.3</v>
      </c>
      <c r="P117" s="29"/>
      <c r="Q117" s="29"/>
      <c r="R117" s="32">
        <v>2</v>
      </c>
      <c r="S117" s="32">
        <v>64</v>
      </c>
      <c r="T117" s="32">
        <v>0</v>
      </c>
      <c r="U117" s="32">
        <v>0</v>
      </c>
      <c r="V117" s="32">
        <v>64</v>
      </c>
      <c r="W117" s="33" t="s">
        <v>410</v>
      </c>
      <c r="X117" s="78" t="s">
        <v>711</v>
      </c>
    </row>
    <row r="118" ht="36.75" spans="1:25">
      <c r="A118" s="55" t="s">
        <v>728</v>
      </c>
      <c r="B118" s="52">
        <v>5208088</v>
      </c>
      <c r="C118" s="37" t="s">
        <v>598</v>
      </c>
      <c r="D118" s="29">
        <v>1.2</v>
      </c>
      <c r="E118" s="29">
        <v>3.4</v>
      </c>
      <c r="F118" s="29">
        <v>4.3</v>
      </c>
      <c r="G118" s="29">
        <v>5.3</v>
      </c>
      <c r="H118" s="29">
        <v>9.3</v>
      </c>
      <c r="I118" s="29"/>
      <c r="J118" s="29"/>
      <c r="K118" s="29">
        <v>0.1</v>
      </c>
      <c r="L118" s="29">
        <v>0.3</v>
      </c>
      <c r="M118" s="29">
        <v>0.1</v>
      </c>
      <c r="N118" s="29">
        <v>0.3</v>
      </c>
      <c r="O118" s="29">
        <v>0.3</v>
      </c>
      <c r="P118" s="29"/>
      <c r="Q118" s="29"/>
      <c r="R118" s="32">
        <v>2</v>
      </c>
      <c r="S118" s="32">
        <v>64</v>
      </c>
      <c r="T118" s="32">
        <v>0</v>
      </c>
      <c r="V118" s="32">
        <v>64</v>
      </c>
      <c r="W118" s="33" t="s">
        <v>410</v>
      </c>
      <c r="X118" s="78" t="s">
        <v>711</v>
      </c>
      <c r="Y118" s="31" t="s">
        <v>729</v>
      </c>
    </row>
    <row r="119" ht="28.75" spans="1:24">
      <c r="A119" s="55" t="s">
        <v>730</v>
      </c>
      <c r="B119" s="52">
        <v>5208092</v>
      </c>
      <c r="C119" s="37" t="s">
        <v>598</v>
      </c>
      <c r="D119" s="29">
        <v>4.3</v>
      </c>
      <c r="E119" s="29">
        <v>6.2</v>
      </c>
      <c r="F119" s="29">
        <v>7.1</v>
      </c>
      <c r="G119" s="29">
        <v>10.1</v>
      </c>
      <c r="H119" s="29">
        <v>10.3</v>
      </c>
      <c r="I119" s="29">
        <v>12.2</v>
      </c>
      <c r="J119" s="29"/>
      <c r="K119" s="29">
        <v>0.1</v>
      </c>
      <c r="L119" s="29">
        <v>0.2</v>
      </c>
      <c r="M119" s="29">
        <v>0.3</v>
      </c>
      <c r="N119" s="29">
        <v>0.2</v>
      </c>
      <c r="O119" s="29">
        <v>0.3</v>
      </c>
      <c r="P119" s="29">
        <v>0.1</v>
      </c>
      <c r="Q119" s="29"/>
      <c r="R119" s="32">
        <v>13</v>
      </c>
      <c r="S119" s="32" t="s">
        <v>731</v>
      </c>
      <c r="T119" s="32" t="str">
        <f>S119</f>
        <v>13周</v>
      </c>
      <c r="W119" s="33" t="s">
        <v>410</v>
      </c>
      <c r="X119" s="78" t="s">
        <v>711</v>
      </c>
    </row>
    <row r="120" ht="36.75" spans="1:24">
      <c r="A120" s="55" t="s">
        <v>732</v>
      </c>
      <c r="B120" s="52">
        <v>55099006</v>
      </c>
      <c r="C120" s="37" t="s">
        <v>598</v>
      </c>
      <c r="D120" s="29">
        <v>2.4</v>
      </c>
      <c r="E120" s="29">
        <v>3.1</v>
      </c>
      <c r="F120" s="29">
        <v>4.3</v>
      </c>
      <c r="G120" s="29">
        <v>7.2</v>
      </c>
      <c r="H120" s="29">
        <v>8.3</v>
      </c>
      <c r="I120" s="29">
        <v>10.1</v>
      </c>
      <c r="J120" s="29">
        <v>11.1</v>
      </c>
      <c r="K120" s="29">
        <v>0.2</v>
      </c>
      <c r="L120" s="29">
        <v>0.3</v>
      </c>
      <c r="M120" s="29">
        <v>0.2</v>
      </c>
      <c r="N120" s="29">
        <v>0.3</v>
      </c>
      <c r="O120" s="29">
        <v>0.3</v>
      </c>
      <c r="P120" s="29">
        <v>0.3</v>
      </c>
      <c r="Q120" s="29">
        <v>0.3</v>
      </c>
      <c r="R120" s="32">
        <v>13</v>
      </c>
      <c r="S120" s="32" t="s">
        <v>733</v>
      </c>
      <c r="T120" s="32" t="str">
        <f>S120</f>
        <v>16周</v>
      </c>
      <c r="W120" s="33" t="s">
        <v>411</v>
      </c>
      <c r="X120" s="78" t="s">
        <v>734</v>
      </c>
    </row>
    <row r="121" ht="60.75" spans="1:25">
      <c r="A121" s="83" t="s">
        <v>735</v>
      </c>
      <c r="B121" s="84">
        <v>1706440</v>
      </c>
      <c r="C121" s="37" t="s">
        <v>598</v>
      </c>
      <c r="D121" s="31"/>
      <c r="E121" s="31"/>
      <c r="F121" s="31"/>
      <c r="G121" s="31"/>
      <c r="H121" s="31"/>
      <c r="I121" s="31"/>
      <c r="J121" s="31"/>
      <c r="K121" s="31"/>
      <c r="L121" s="31"/>
      <c r="M121" s="31"/>
      <c r="N121" s="31"/>
      <c r="O121" s="31"/>
      <c r="P121" s="31"/>
      <c r="Q121" s="31"/>
      <c r="R121" s="31">
        <v>2</v>
      </c>
      <c r="S121" s="31">
        <v>32</v>
      </c>
      <c r="T121" s="32">
        <f>S121</f>
        <v>32</v>
      </c>
      <c r="U121" s="31"/>
      <c r="V121" s="31"/>
      <c r="Y121" s="31" t="s">
        <v>736</v>
      </c>
    </row>
  </sheetData>
  <sheetProtection selectLockedCells="1" selectUnlockedCells="1"/>
  <conditionalFormatting sqref="D63">
    <cfRule type="cellIs" dxfId="3" priority="1" stopIfTrue="1" operator="equal">
      <formula>"ｈ"</formula>
    </cfRule>
  </conditionalFormatting>
  <hyperlinks>
    <hyperlink ref="X63" r:id="rId5" display="https://xxxy.shou.edu.cn/_upload/article/files/17/02/14bf9aa1458a9637f8e9baefa566/4b5a5553-2f31-4a84-ae69-9b3ae6ee6e7b.docx" tooltip="https://xxxy.shou.edu.cn/_upload/article/files/17/02/14bf9aa1458a9637f8e9baefa566/4b5a5553-2f31-4a84-ae69-9b3ae6ee6e7b.docx"/>
    <hyperlink ref="X65" r:id="rId5" display="https://xxxy.shou.edu.cn/_upload/article/files/17/02/14bf9aa1458a9637f8e9baefa566/4b5a5553-2f31-4a84-ae69-9b3ae6ee6e7b.docx" tooltip="https://xxxy.shou.edu.cn/_upload/article/files/17/02/14bf9aa1458a9637f8e9baefa566/4b5a5553-2f31-4a84-ae69-9b3ae6ee6e7b.docx"/>
    <hyperlink ref="X66" r:id="rId6" display="https://xxxy.shou.edu.cn/_upload/article/files/17/02/14bf9aa1458a9637f8e9baefa566/4b5a5553-2f31-4a84-ae69-9b3ae6ee6e7b.docx"/>
    <hyperlink ref="X67" r:id="rId5" display="https://xxxy.shou.edu.cn/_upload/article/files/17/02/14bf9aa1458a9637f8e9baefa566/4b5a5553-2f31-4a84-ae69-9b3ae6ee6e7b.docx" tooltip="https://xxxy.shou.edu.cn/_upload/article/files/17/02/14bf9aa1458a9637f8e9baefa566/4b5a5553-2f31-4a84-ae69-9b3ae6ee6e7b.docx"/>
    <hyperlink ref="X68" r:id="rId6" display="https://xxxy.shou.edu.cn/_upload/article/files/17/02/14bf9aa1458a9637f8e9baefa566/4b5a5553-2f31-4a84-ae69-9b3ae6ee6e7b.docx"/>
    <hyperlink ref="X69" r:id="rId5" display="https://xxxy.shou.edu.cn/_upload/article/files/17/02/14bf9aa1458a9637f8e9baefa566/4b5a5553-2f31-4a84-ae69-9b3ae6ee6e7b.docx" tooltip="https://xxxy.shou.edu.cn/_upload/article/files/17/02/14bf9aa1458a9637f8e9baefa566/4b5a5553-2f31-4a84-ae69-9b3ae6ee6e7b.docx"/>
    <hyperlink ref="X70" r:id="rId6" display="https://xxxy.shou.edu.cn/_upload/article/files/17/02/14bf9aa1458a9637f8e9baefa566/4b5a5553-2f31-4a84-ae69-9b3ae6ee6e7b.docx"/>
    <hyperlink ref="X71" r:id="rId5" display="https://xxxy.shou.edu.cn/_upload/article/files/17/02/14bf9aa1458a9637f8e9baefa566/4b5a5553-2f31-4a84-ae69-9b3ae6ee6e7b.docx" tooltip="https://xxxy.shou.edu.cn/_upload/article/files/17/02/14bf9aa1458a9637f8e9baefa566/4b5a5553-2f31-4a84-ae69-9b3ae6ee6e7b.docx"/>
    <hyperlink ref="X72" r:id="rId6" display="https://xxxy.shou.edu.cn/_upload/article/files/17/02/14bf9aa1458a9637f8e9baefa566/4b5a5553-2f31-4a84-ae69-9b3ae6ee6e7b.docx"/>
    <hyperlink ref="X73" r:id="rId5" display="https://xxxy.shou.edu.cn/_upload/article/files/17/02/14bf9aa1458a9637f8e9baefa566/4b5a5553-2f31-4a84-ae69-9b3ae6ee6e7b.docx" tooltip="https://xxxy.shou.edu.cn/_upload/article/files/17/02/14bf9aa1458a9637f8e9baefa566/4b5a5553-2f31-4a84-ae69-9b3ae6ee6e7b.docx"/>
    <hyperlink ref="X74" r:id="rId6" display="https://xxxy.shou.edu.cn/_upload/article/files/17/02/14bf9aa1458a9637f8e9baefa566/4b5a5553-2f31-4a84-ae69-9b3ae6ee6e7b.docx"/>
    <hyperlink ref="X75" r:id="rId5" display="https://xxxy.shou.edu.cn/_upload/article/files/17/02/14bf9aa1458a9637f8e9baefa566/4b5a5553-2f31-4a84-ae69-9b3ae6ee6e7b.docx" tooltip="https://xxxy.shou.edu.cn/_upload/article/files/17/02/14bf9aa1458a9637f8e9baefa566/4b5a5553-2f31-4a84-ae69-9b3ae6ee6e7b.docx"/>
    <hyperlink ref="X81" r:id="rId5" display="https://xxxy.shou.edu.cn/_upload/article/files/17/02/14bf9aa1458a9637f8e9baefa566/cbbefe08-1643-42c7-bb34-ec27d701dd15.docx" tooltip="https://xxxy.shou.edu.cn/_upload/article/files/17/02/14bf9aa1458a9637f8e9baefa566/4b5a5553-2f31-4a84-ae69-9b3ae6ee6e7b.docx"/>
    <hyperlink ref="X82" r:id="rId6" display="https://xxxy.shou.edu.cn/_upload/article/files/17/02/14bf9aa1458a9637f8e9baefa566/cbbefe08-1643-42c7-bb34-ec27d701dd15.docx"/>
    <hyperlink ref="X83" r:id="rId5" display="https://xxxy.shou.edu.cn/_upload/article/files/17/02/14bf9aa1458a9637f8e9baefa566/cbbefe08-1643-42c7-bb34-ec27d701dd15.docx" tooltip="https://xxxy.shou.edu.cn/_upload/article/files/17/02/14bf9aa1458a9637f8e9baefa566/4b5a5553-2f31-4a84-ae69-9b3ae6ee6e7b.docx"/>
    <hyperlink ref="X84" r:id="rId6" display="https://xxxy.shou.edu.cn/_upload/article/files/17/02/14bf9aa1458a9637f8e9baefa566/cbbefe08-1643-42c7-bb34-ec27d701dd15.docx"/>
    <hyperlink ref="X85" r:id="rId5" display="https://xxxy.shou.edu.cn/_upload/article/files/17/02/14bf9aa1458a9637f8e9baefa566/cbbefe08-1643-42c7-bb34-ec27d701dd15.docx" tooltip="https://xxxy.shou.edu.cn/_upload/article/files/17/02/14bf9aa1458a9637f8e9baefa566/4b5a5553-2f31-4a84-ae69-9b3ae6ee6e7b.docx"/>
    <hyperlink ref="X86" r:id="rId6" display="https://xxxy.shou.edu.cn/_upload/article/files/17/02/14bf9aa1458a9637f8e9baefa566/cbbefe08-1643-42c7-bb34-ec27d701dd15.docx"/>
    <hyperlink ref="X87" r:id="rId5" display="https://xxxy.shou.edu.cn/_upload/article/files/17/02/14bf9aa1458a9637f8e9baefa566/cbbefe08-1643-42c7-bb34-ec27d701dd15.docx" tooltip="https://xxxy.shou.edu.cn/_upload/article/files/17/02/14bf9aa1458a9637f8e9baefa566/4b5a5553-2f31-4a84-ae69-9b3ae6ee6e7b.docx"/>
    <hyperlink ref="X88" r:id="rId6" display="https://xxxy.shou.edu.cn/_upload/article/files/17/02/14bf9aa1458a9637f8e9baefa566/cbbefe08-1643-42c7-bb34-ec27d701dd15.docx"/>
    <hyperlink ref="X89" r:id="rId5" display="https://xxxy.shou.edu.cn/_upload/article/files/17/02/14bf9aa1458a9637f8e9baefa566/cbbefe08-1643-42c7-bb34-ec27d701dd15.docx" tooltip="https://xxxy.shou.edu.cn/_upload/article/files/17/02/14bf9aa1458a9637f8e9baefa566/4b5a5553-2f31-4a84-ae69-9b3ae6ee6e7b.docx"/>
    <hyperlink ref="X90" r:id="rId6" display="https://xxxy.shou.edu.cn/_upload/article/files/17/02/14bf9aa1458a9637f8e9baefa566/cbbefe08-1643-42c7-bb34-ec27d701dd15.docx"/>
    <hyperlink ref="X91" r:id="rId5" display="https://xxxy.shou.edu.cn/_upload/article/files/17/02/14bf9aa1458a9637f8e9baefa566/cbbefe08-1643-42c7-bb34-ec27d701dd15.docx" tooltip="https://xxxy.shou.edu.cn/_upload/article/files/17/02/14bf9aa1458a9637f8e9baefa566/4b5a5553-2f31-4a84-ae69-9b3ae6ee6e7b.docx"/>
    <hyperlink ref="X92" r:id="rId6" display="https://xxxy.shou.edu.cn/_upload/article/files/17/02/14bf9aa1458a9637f8e9baefa566/cbbefe08-1643-42c7-bb34-ec27d701dd15.docx"/>
    <hyperlink ref="X95" r:id="rId5" display="https://xxxy.shou.edu.cn/_upload/article/files/17/02/14bf9aa1458a9637f8e9baefa566/52755c32-88d7-4818-b680-58b1b839ae96.docx" tooltip="https://xxxy.shou.edu.cn/_upload/article/files/17/02/14bf9aa1458a9637f8e9baefa566/4b5a5553-2f31-4a84-ae69-9b3ae6ee6e7b.docx"/>
    <hyperlink ref="X96" r:id="rId6" display="https://xxxy.shou.edu.cn/_upload/article/files/17/02/14bf9aa1458a9637f8e9baefa566/52755c32-88d7-4818-b680-58b1b839ae96.docx"/>
    <hyperlink ref="X97" r:id="rId5" display="https://xxxy.shou.edu.cn/_upload/article/files/17/02/14bf9aa1458a9637f8e9baefa566/52755c32-88d7-4818-b680-58b1b839ae96.docx" tooltip="https://xxxy.shou.edu.cn/_upload/article/files/17/02/14bf9aa1458a9637f8e9baefa566/4b5a5553-2f31-4a84-ae69-9b3ae6ee6e7b.docx"/>
    <hyperlink ref="X98" r:id="rId6" display="https://xxxy.shou.edu.cn/_upload/article/files/17/02/14bf9aa1458a9637f8e9baefa566/52755c32-88d7-4818-b680-58b1b839ae96.docx"/>
    <hyperlink ref="X99" r:id="rId5" display="https://xxxy.shou.edu.cn/_upload/article/files/17/02/14bf9aa1458a9637f8e9baefa566/52755c32-88d7-4818-b680-58b1b839ae96.docx" tooltip="https://xxxy.shou.edu.cn/_upload/article/files/17/02/14bf9aa1458a9637f8e9baefa566/4b5a5553-2f31-4a84-ae69-9b3ae6ee6e7b.docx"/>
    <hyperlink ref="X100" r:id="rId6" display="https://xxxy.shou.edu.cn/_upload/article/files/17/02/14bf9aa1458a9637f8e9baefa566/52755c32-88d7-4818-b680-58b1b839ae96.docx"/>
    <hyperlink ref="X101" r:id="rId5" display="https://xxxy.shou.edu.cn/_upload/article/files/17/02/14bf9aa1458a9637f8e9baefa566/52755c32-88d7-4818-b680-58b1b839ae96.docx" tooltip="https://xxxy.shou.edu.cn/_upload/article/files/17/02/14bf9aa1458a9637f8e9baefa566/4b5a5553-2f31-4a84-ae69-9b3ae6ee6e7b.docx"/>
    <hyperlink ref="X102" r:id="rId6" display="https://xxxy.shou.edu.cn/_upload/article/files/17/02/14bf9aa1458a9637f8e9baefa566/52755c32-88d7-4818-b680-58b1b839ae96.docx"/>
    <hyperlink ref="X105" r:id="rId5" display="https://xxxy.shou.edu.cn/_upload/article/files/17/02/14bf9aa1458a9637f8e9baefa566/b7f1624a-2e35-430e-8396-0f1abc958f53.docx" tooltip="https://xxxy.shou.edu.cn/_upload/article/files/17/02/14bf9aa1458a9637f8e9baefa566/4b5a5553-2f31-4a84-ae69-9b3ae6ee6e7b.docx"/>
    <hyperlink ref="X106" r:id="rId6" display="https://xxxy.shou.edu.cn/_upload/article/files/17/02/14bf9aa1458a9637f8e9baefa566/b7f1624a-2e35-430e-8396-0f1abc958f53.docx"/>
    <hyperlink ref="X107" r:id="rId5" display="https://xxxy.shou.edu.cn/_upload/article/files/17/02/14bf9aa1458a9637f8e9baefa566/b7f1624a-2e35-430e-8396-0f1abc958f53.docx" tooltip="https://xxxy.shou.edu.cn/_upload/article/files/17/02/14bf9aa1458a9637f8e9baefa566/4b5a5553-2f31-4a84-ae69-9b3ae6ee6e7b.docx"/>
    <hyperlink ref="X108" r:id="rId6" display="https://xxxy.shou.edu.cn/_upload/article/files/17/02/14bf9aa1458a9637f8e9baefa566/b7f1624a-2e35-430e-8396-0f1abc958f53.docx"/>
    <hyperlink ref="X109" r:id="rId5" display="https://xxxy.shou.edu.cn/_upload/article/files/17/02/14bf9aa1458a9637f8e9baefa566/b7f1624a-2e35-430e-8396-0f1abc958f53.docx" tooltip="https://xxxy.shou.edu.cn/_upload/article/files/17/02/14bf9aa1458a9637f8e9baefa566/4b5a5553-2f31-4a84-ae69-9b3ae6ee6e7b.docx"/>
    <hyperlink ref="X110" r:id="rId6" display="https://xxxy.shou.edu.cn/_upload/article/files/17/02/14bf9aa1458a9637f8e9baefa566/b7f1624a-2e35-430e-8396-0f1abc958f53.docx"/>
    <hyperlink ref="X111" r:id="rId5" display="https://xxxy.shou.edu.cn/_upload/article/files/17/02/14bf9aa1458a9637f8e9baefa566/b7f1624a-2e35-430e-8396-0f1abc958f53.docx" tooltip="https://xxxy.shou.edu.cn/_upload/article/files/17/02/14bf9aa1458a9637f8e9baefa566/4b5a5553-2f31-4a84-ae69-9b3ae6ee6e7b.docx"/>
    <hyperlink ref="X112" r:id="rId6" display="https://xxxy.shou.edu.cn/_upload/article/files/17/02/14bf9aa1458a9637f8e9baefa566/b7f1624a-2e35-430e-8396-0f1abc958f53.docx"/>
    <hyperlink ref="X113" r:id="rId5" display="https://xxxy.shou.edu.cn/_upload/article/files/17/02/14bf9aa1458a9637f8e9baefa566/b7f1624a-2e35-430e-8396-0f1abc958f53.docx" tooltip="https://xxxy.shou.edu.cn/_upload/article/files/17/02/14bf9aa1458a9637f8e9baefa566/4b5a5553-2f31-4a84-ae69-9b3ae6ee6e7b.docx"/>
    <hyperlink ref="X114" r:id="rId6" display="https://xxxy.shou.edu.cn/_upload/article/files/17/02/14bf9aa1458a9637f8e9baefa566/b7f1624a-2e35-430e-8396-0f1abc958f53.docx"/>
    <hyperlink ref="X115" r:id="rId5" display="https://xxxy.shou.edu.cn/_upload/article/files/17/02/14bf9aa1458a9637f8e9baefa566/b7f1624a-2e35-430e-8396-0f1abc958f53.docx" tooltip="https://xxxy.shou.edu.cn/_upload/article/files/17/02/14bf9aa1458a9637f8e9baefa566/4b5a5553-2f31-4a84-ae69-9b3ae6ee6e7b.docx"/>
    <hyperlink ref="X116" r:id="rId6" display="https://xxxy.shou.edu.cn/_upload/article/files/17/02/14bf9aa1458a9637f8e9baefa566/b7f1624a-2e35-430e-8396-0f1abc958f53.docx"/>
    <hyperlink ref="X117" r:id="rId5" display="https://xxxy.shou.edu.cn/_upload/article/files/17/02/14bf9aa1458a9637f8e9baefa566/b7f1624a-2e35-430e-8396-0f1abc958f53.docx" tooltip="https://xxxy.shou.edu.cn/_upload/article/files/17/02/14bf9aa1458a9637f8e9baefa566/4b5a5553-2f31-4a84-ae69-9b3ae6ee6e7b.docx"/>
    <hyperlink ref="X118" r:id="rId6" display="https://xxxy.shou.edu.cn/_upload/article/files/17/02/14bf9aa1458a9637f8e9baefa566/b7f1624a-2e35-430e-8396-0f1abc958f53.docx"/>
    <hyperlink ref="X119" r:id="rId5" display="https://xxxy.shou.edu.cn/_upload/article/files/17/02/14bf9aa1458a9637f8e9baefa566/b7f1624a-2e35-430e-8396-0f1abc958f53.docx" tooltip="https://xxxy.shou.edu.cn/_upload/article/files/17/02/14bf9aa1458a9637f8e9baefa566/4b5a5553-2f31-4a84-ae69-9b3ae6ee6e7b.docx"/>
  </hyperlinks>
  <pageMargins left="0.75" right="0.75" top="1" bottom="1" header="0.5" footer="0.5"/>
  <headerFooter/>
  <drawing r:id="rId1"/>
  <legacyDrawing r:id="rId2"/>
  <controls>
    <mc:AlternateContent xmlns:mc="http://schemas.openxmlformats.org/markup-compatibility/2006">
      <mc:Choice Requires="x14">
        <control shapeId="2049" r:id="rId3" name="CommandButton1">
          <controlPr defaultSize="0" r:id="rId4">
            <anchor moveWithCells="1">
              <from>
                <xdr:col>4</xdr:col>
                <xdr:colOff>25400</xdr:colOff>
                <xdr:row>0</xdr:row>
                <xdr:rowOff>19050</xdr:rowOff>
              </from>
              <to>
                <xdr:col>5</xdr:col>
                <xdr:colOff>342900</xdr:colOff>
                <xdr:row>1</xdr:row>
                <xdr:rowOff>50800</xdr:rowOff>
              </to>
            </anchor>
          </controlPr>
        </control>
      </mc:Choice>
      <mc:Fallback>
        <control shapeId="2049" r:id="rId3" name="CommandButton1"/>
      </mc:Fallback>
    </mc:AlternateContent>
  </control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C111"/>
  <sheetViews>
    <sheetView workbookViewId="0">
      <selection activeCell="F76" sqref="F76"/>
    </sheetView>
  </sheetViews>
  <sheetFormatPr defaultColWidth="8.66666666666667" defaultRowHeight="14" outlineLevelCol="2"/>
  <cols>
    <col min="1" max="1" width="13.4166666666667" style="25" customWidth="1"/>
    <col min="2" max="2" width="14.75" style="26" customWidth="1"/>
    <col min="3" max="3" width="13.4166666666667" customWidth="1"/>
  </cols>
  <sheetData>
    <row r="1" ht="15" customHeight="1" spans="1:3">
      <c r="A1" s="27">
        <v>1.1</v>
      </c>
      <c r="B1" s="28" t="s">
        <v>737</v>
      </c>
      <c r="C1" s="29" t="s">
        <v>738</v>
      </c>
    </row>
    <row r="2" ht="15" customHeight="1" spans="1:3">
      <c r="A2" s="27">
        <v>1.2</v>
      </c>
      <c r="B2" s="28" t="s">
        <v>478</v>
      </c>
      <c r="C2" s="29" t="s">
        <v>738</v>
      </c>
    </row>
    <row r="3" ht="15" customHeight="1" spans="1:3">
      <c r="A3" s="27">
        <v>1.3</v>
      </c>
      <c r="B3" s="28" t="s">
        <v>479</v>
      </c>
      <c r="C3" s="29" t="s">
        <v>738</v>
      </c>
    </row>
    <row r="4" ht="15" customHeight="1" spans="1:3">
      <c r="A4" s="27">
        <v>1.4</v>
      </c>
      <c r="B4" s="28" t="s">
        <v>480</v>
      </c>
      <c r="C4" s="29" t="s">
        <v>738</v>
      </c>
    </row>
    <row r="5" ht="15" customHeight="1" spans="1:3">
      <c r="A5" s="27">
        <v>2.1</v>
      </c>
      <c r="B5" s="28" t="s">
        <v>481</v>
      </c>
      <c r="C5" s="29" t="s">
        <v>738</v>
      </c>
    </row>
    <row r="6" ht="15" customHeight="1" spans="1:3">
      <c r="A6" s="27">
        <v>2.2</v>
      </c>
      <c r="B6" s="28" t="s">
        <v>482</v>
      </c>
      <c r="C6" s="29" t="s">
        <v>738</v>
      </c>
    </row>
    <row r="7" ht="15" customHeight="1" spans="1:3">
      <c r="A7" s="27">
        <v>2.3</v>
      </c>
      <c r="B7" s="28" t="s">
        <v>483</v>
      </c>
      <c r="C7" s="29" t="s">
        <v>738</v>
      </c>
    </row>
    <row r="8" ht="15" customHeight="1" spans="1:3">
      <c r="A8" s="27">
        <v>2.4</v>
      </c>
      <c r="B8" s="28" t="s">
        <v>739</v>
      </c>
      <c r="C8" s="29" t="s">
        <v>738</v>
      </c>
    </row>
    <row r="9" ht="15" customHeight="1" spans="1:3">
      <c r="A9" s="27">
        <v>3.1</v>
      </c>
      <c r="B9" s="28" t="s">
        <v>485</v>
      </c>
      <c r="C9" s="29" t="s">
        <v>738</v>
      </c>
    </row>
    <row r="10" ht="15" customHeight="1" spans="1:3">
      <c r="A10" s="27">
        <v>3.2</v>
      </c>
      <c r="B10" s="28" t="s">
        <v>486</v>
      </c>
      <c r="C10" s="29" t="s">
        <v>738</v>
      </c>
    </row>
    <row r="11" ht="15" customHeight="1" spans="1:3">
      <c r="A11" s="27">
        <v>3.3</v>
      </c>
      <c r="B11" s="28" t="s">
        <v>487</v>
      </c>
      <c r="C11" s="29" t="s">
        <v>738</v>
      </c>
    </row>
    <row r="12" ht="15" customHeight="1" spans="1:3">
      <c r="A12" s="27">
        <v>3.4</v>
      </c>
      <c r="B12" s="28" t="s">
        <v>488</v>
      </c>
      <c r="C12" s="29" t="s">
        <v>738</v>
      </c>
    </row>
    <row r="13" ht="15" customHeight="1" spans="1:3">
      <c r="A13" s="27">
        <v>4.1</v>
      </c>
      <c r="B13" s="28" t="s">
        <v>489</v>
      </c>
      <c r="C13" s="29" t="s">
        <v>738</v>
      </c>
    </row>
    <row r="14" ht="15" customHeight="1" spans="1:3">
      <c r="A14" s="27">
        <v>4.2</v>
      </c>
      <c r="B14" s="28" t="s">
        <v>490</v>
      </c>
      <c r="C14" s="29" t="s">
        <v>738</v>
      </c>
    </row>
    <row r="15" ht="15" customHeight="1" spans="1:3">
      <c r="A15" s="27">
        <v>4.3</v>
      </c>
      <c r="B15" s="28" t="s">
        <v>491</v>
      </c>
      <c r="C15" s="29" t="s">
        <v>738</v>
      </c>
    </row>
    <row r="16" ht="15" customHeight="1" spans="1:3">
      <c r="A16" s="27">
        <v>4.4</v>
      </c>
      <c r="B16" s="28" t="s">
        <v>492</v>
      </c>
      <c r="C16" s="29" t="s">
        <v>738</v>
      </c>
    </row>
    <row r="17" ht="15" customHeight="1" spans="1:3">
      <c r="A17" s="27">
        <v>5.1</v>
      </c>
      <c r="B17" s="28" t="s">
        <v>493</v>
      </c>
      <c r="C17" s="29" t="s">
        <v>738</v>
      </c>
    </row>
    <row r="18" ht="15" customHeight="1" spans="1:3">
      <c r="A18" s="27">
        <v>5.2</v>
      </c>
      <c r="B18" s="28" t="s">
        <v>494</v>
      </c>
      <c r="C18" s="29" t="s">
        <v>738</v>
      </c>
    </row>
    <row r="19" ht="15" customHeight="1" spans="1:3">
      <c r="A19" s="27">
        <v>5.3</v>
      </c>
      <c r="B19" s="28" t="s">
        <v>495</v>
      </c>
      <c r="C19" s="29" t="s">
        <v>738</v>
      </c>
    </row>
    <row r="20" ht="15" customHeight="1" spans="1:3">
      <c r="A20" s="27">
        <v>6.1</v>
      </c>
      <c r="B20" s="28" t="s">
        <v>496</v>
      </c>
      <c r="C20" s="29" t="s">
        <v>738</v>
      </c>
    </row>
    <row r="21" ht="15" customHeight="1" spans="1:3">
      <c r="A21" s="27">
        <v>6.2</v>
      </c>
      <c r="B21" s="28" t="s">
        <v>497</v>
      </c>
      <c r="C21" s="29" t="s">
        <v>738</v>
      </c>
    </row>
    <row r="22" ht="15" customHeight="1" spans="1:3">
      <c r="A22" s="27">
        <v>7.1</v>
      </c>
      <c r="B22" s="28" t="s">
        <v>498</v>
      </c>
      <c r="C22" s="29" t="s">
        <v>738</v>
      </c>
    </row>
    <row r="23" ht="15" customHeight="1" spans="1:3">
      <c r="A23" s="27">
        <v>7.2</v>
      </c>
      <c r="B23" s="28" t="s">
        <v>499</v>
      </c>
      <c r="C23" s="29" t="s">
        <v>738</v>
      </c>
    </row>
    <row r="24" ht="15" customHeight="1" spans="1:3">
      <c r="A24" s="27">
        <v>8.1</v>
      </c>
      <c r="B24" s="28" t="s">
        <v>740</v>
      </c>
      <c r="C24" s="29" t="s">
        <v>738</v>
      </c>
    </row>
    <row r="25" ht="15" customHeight="1" spans="1:3">
      <c r="A25" s="27">
        <v>8.2</v>
      </c>
      <c r="B25" s="28" t="s">
        <v>501</v>
      </c>
      <c r="C25" s="29" t="s">
        <v>738</v>
      </c>
    </row>
    <row r="26" ht="15" customHeight="1" spans="1:3">
      <c r="A26" s="27">
        <v>8.3</v>
      </c>
      <c r="B26" s="28" t="s">
        <v>502</v>
      </c>
      <c r="C26" s="29" t="s">
        <v>738</v>
      </c>
    </row>
    <row r="27" ht="15" customHeight="1" spans="1:3">
      <c r="A27" s="27">
        <v>9.1</v>
      </c>
      <c r="B27" s="28" t="s">
        <v>741</v>
      </c>
      <c r="C27" s="29" t="s">
        <v>738</v>
      </c>
    </row>
    <row r="28" ht="15" customHeight="1" spans="1:3">
      <c r="A28" s="27">
        <v>9.2</v>
      </c>
      <c r="B28" s="28" t="s">
        <v>742</v>
      </c>
      <c r="C28" s="29" t="s">
        <v>738</v>
      </c>
    </row>
    <row r="29" ht="15" customHeight="1" spans="1:3">
      <c r="A29" s="27">
        <v>9.3</v>
      </c>
      <c r="B29" s="28" t="s">
        <v>743</v>
      </c>
      <c r="C29" s="29" t="s">
        <v>738</v>
      </c>
    </row>
    <row r="30" ht="15" customHeight="1" spans="1:3">
      <c r="A30" s="27">
        <v>10.1</v>
      </c>
      <c r="B30" s="28" t="s">
        <v>506</v>
      </c>
      <c r="C30" s="29" t="s">
        <v>738</v>
      </c>
    </row>
    <row r="31" ht="15" customHeight="1" spans="1:3">
      <c r="A31" s="27">
        <v>10.2</v>
      </c>
      <c r="B31" s="28" t="s">
        <v>507</v>
      </c>
      <c r="C31" s="29" t="s">
        <v>738</v>
      </c>
    </row>
    <row r="32" ht="15" customHeight="1" spans="1:3">
      <c r="A32" s="27">
        <v>10.3</v>
      </c>
      <c r="B32" s="28" t="s">
        <v>744</v>
      </c>
      <c r="C32" s="29" t="s">
        <v>738</v>
      </c>
    </row>
    <row r="33" ht="15" customHeight="1" spans="1:3">
      <c r="A33" s="27">
        <v>11.1</v>
      </c>
      <c r="B33" s="28" t="s">
        <v>745</v>
      </c>
      <c r="C33" s="29" t="s">
        <v>738</v>
      </c>
    </row>
    <row r="34" ht="15" customHeight="1" spans="1:3">
      <c r="A34" s="27">
        <v>11.2</v>
      </c>
      <c r="B34" s="28" t="s">
        <v>510</v>
      </c>
      <c r="C34" s="29" t="s">
        <v>738</v>
      </c>
    </row>
    <row r="35" ht="15" customHeight="1" spans="1:3">
      <c r="A35" s="27">
        <v>11.3</v>
      </c>
      <c r="B35" s="28" t="s">
        <v>511</v>
      </c>
      <c r="C35" s="29" t="s">
        <v>738</v>
      </c>
    </row>
    <row r="36" ht="15" customHeight="1" spans="1:3">
      <c r="A36" s="27">
        <v>12.1</v>
      </c>
      <c r="B36" s="28" t="s">
        <v>512</v>
      </c>
      <c r="C36" s="29" t="s">
        <v>738</v>
      </c>
    </row>
    <row r="37" ht="15" customHeight="1" spans="1:3">
      <c r="A37" s="27">
        <v>12.2</v>
      </c>
      <c r="B37" s="28" t="s">
        <v>513</v>
      </c>
      <c r="C37" s="29" t="s">
        <v>738</v>
      </c>
    </row>
    <row r="38" ht="15" customHeight="1" spans="1:3">
      <c r="A38" s="27">
        <v>1.1</v>
      </c>
      <c r="B38" s="28" t="s">
        <v>746</v>
      </c>
      <c r="C38" s="29" t="s">
        <v>747</v>
      </c>
    </row>
    <row r="39" ht="15" customHeight="1" spans="1:3">
      <c r="A39" s="27">
        <v>1.2</v>
      </c>
      <c r="B39" s="28" t="s">
        <v>748</v>
      </c>
      <c r="C39" s="29" t="s">
        <v>747</v>
      </c>
    </row>
    <row r="40" ht="15" customHeight="1" spans="1:3">
      <c r="A40" s="27">
        <v>1.3</v>
      </c>
      <c r="B40" s="28" t="s">
        <v>749</v>
      </c>
      <c r="C40" s="29" t="s">
        <v>747</v>
      </c>
    </row>
    <row r="41" ht="15" customHeight="1" spans="1:3">
      <c r="A41" s="27">
        <v>1.4</v>
      </c>
      <c r="B41" s="28" t="s">
        <v>480</v>
      </c>
      <c r="C41" s="29" t="s">
        <v>747</v>
      </c>
    </row>
    <row r="42" ht="15" customHeight="1" spans="1:3">
      <c r="A42" s="27">
        <v>2.1</v>
      </c>
      <c r="B42" s="28" t="s">
        <v>750</v>
      </c>
      <c r="C42" s="29" t="s">
        <v>747</v>
      </c>
    </row>
    <row r="43" ht="15" customHeight="1" spans="1:3">
      <c r="A43" s="27">
        <v>2.2</v>
      </c>
      <c r="B43" s="28" t="s">
        <v>751</v>
      </c>
      <c r="C43" s="29" t="s">
        <v>747</v>
      </c>
    </row>
    <row r="44" ht="15" customHeight="1" spans="1:3">
      <c r="A44" s="27">
        <v>2.3</v>
      </c>
      <c r="B44" s="28" t="s">
        <v>752</v>
      </c>
      <c r="C44" s="29" t="s">
        <v>747</v>
      </c>
    </row>
    <row r="45" ht="15" customHeight="1" spans="1:3">
      <c r="A45" s="27">
        <v>2.4</v>
      </c>
      <c r="B45" s="28" t="s">
        <v>753</v>
      </c>
      <c r="C45" s="29" t="s">
        <v>747</v>
      </c>
    </row>
    <row r="46" ht="15" customHeight="1" spans="1:3">
      <c r="A46" s="27">
        <v>3.1</v>
      </c>
      <c r="B46" s="28" t="s">
        <v>754</v>
      </c>
      <c r="C46" s="29" t="s">
        <v>747</v>
      </c>
    </row>
    <row r="47" ht="15" customHeight="1" spans="1:3">
      <c r="A47" s="27">
        <v>3.2</v>
      </c>
      <c r="B47" s="28" t="s">
        <v>755</v>
      </c>
      <c r="C47" s="29" t="s">
        <v>747</v>
      </c>
    </row>
    <row r="48" ht="15" customHeight="1" spans="1:3">
      <c r="A48" s="27">
        <v>3.3</v>
      </c>
      <c r="B48" s="28" t="s">
        <v>756</v>
      </c>
      <c r="C48" s="29" t="s">
        <v>747</v>
      </c>
    </row>
    <row r="49" ht="15" customHeight="1" spans="1:3">
      <c r="A49" s="27">
        <v>3.4</v>
      </c>
      <c r="B49" s="28" t="s">
        <v>757</v>
      </c>
      <c r="C49" s="29" t="s">
        <v>747</v>
      </c>
    </row>
    <row r="50" ht="15" customHeight="1" spans="1:3">
      <c r="A50" s="27">
        <v>4.1</v>
      </c>
      <c r="B50" s="28" t="s">
        <v>758</v>
      </c>
      <c r="C50" s="29" t="s">
        <v>747</v>
      </c>
    </row>
    <row r="51" ht="15" customHeight="1" spans="1:3">
      <c r="A51" s="27">
        <v>4.2</v>
      </c>
      <c r="B51" s="28" t="s">
        <v>759</v>
      </c>
      <c r="C51" s="29" t="s">
        <v>747</v>
      </c>
    </row>
    <row r="52" ht="15" customHeight="1" spans="1:3">
      <c r="A52" s="27">
        <v>4.3</v>
      </c>
      <c r="B52" s="28" t="s">
        <v>491</v>
      </c>
      <c r="C52" s="29" t="s">
        <v>747</v>
      </c>
    </row>
    <row r="53" ht="15" customHeight="1" spans="1:3">
      <c r="A53" s="27">
        <v>4.4</v>
      </c>
      <c r="B53" s="28" t="s">
        <v>492</v>
      </c>
      <c r="C53" s="29" t="s">
        <v>747</v>
      </c>
    </row>
    <row r="54" ht="15" customHeight="1" spans="1:3">
      <c r="A54" s="27">
        <v>5.1</v>
      </c>
      <c r="B54" s="28" t="s">
        <v>760</v>
      </c>
      <c r="C54" s="29" t="s">
        <v>747</v>
      </c>
    </row>
    <row r="55" ht="15" customHeight="1" spans="1:3">
      <c r="A55" s="27">
        <v>5.2</v>
      </c>
      <c r="B55" s="28" t="s">
        <v>761</v>
      </c>
      <c r="C55" s="29" t="s">
        <v>747</v>
      </c>
    </row>
    <row r="56" ht="15" customHeight="1" spans="1:3">
      <c r="A56" s="27">
        <v>5.3</v>
      </c>
      <c r="B56" s="28" t="s">
        <v>495</v>
      </c>
      <c r="C56" s="29" t="s">
        <v>747</v>
      </c>
    </row>
    <row r="57" ht="15" customHeight="1" spans="1:3">
      <c r="A57" s="27">
        <v>6.1</v>
      </c>
      <c r="B57" s="28" t="s">
        <v>762</v>
      </c>
      <c r="C57" s="29" t="s">
        <v>747</v>
      </c>
    </row>
    <row r="58" ht="15" customHeight="1" spans="1:3">
      <c r="A58" s="27">
        <v>6.2</v>
      </c>
      <c r="B58" s="28" t="s">
        <v>497</v>
      </c>
      <c r="C58" s="29" t="s">
        <v>747</v>
      </c>
    </row>
    <row r="59" ht="15" customHeight="1" spans="1:3">
      <c r="A59" s="27">
        <v>7.1</v>
      </c>
      <c r="B59" s="28" t="s">
        <v>763</v>
      </c>
      <c r="C59" s="29" t="s">
        <v>747</v>
      </c>
    </row>
    <row r="60" ht="15" customHeight="1" spans="1:3">
      <c r="A60" s="27">
        <v>7.2</v>
      </c>
      <c r="B60" s="28" t="s">
        <v>764</v>
      </c>
      <c r="C60" s="29" t="s">
        <v>747</v>
      </c>
    </row>
    <row r="61" ht="15" customHeight="1" spans="1:3">
      <c r="A61" s="27">
        <v>8.1</v>
      </c>
      <c r="B61" s="28" t="s">
        <v>740</v>
      </c>
      <c r="C61" s="29" t="s">
        <v>747</v>
      </c>
    </row>
    <row r="62" ht="15" customHeight="1" spans="1:3">
      <c r="A62" s="27">
        <v>8.2</v>
      </c>
      <c r="B62" s="28" t="s">
        <v>765</v>
      </c>
      <c r="C62" s="29" t="s">
        <v>747</v>
      </c>
    </row>
    <row r="63" ht="15" customHeight="1" spans="1:3">
      <c r="A63" s="27">
        <v>8.3</v>
      </c>
      <c r="B63" s="28" t="s">
        <v>766</v>
      </c>
      <c r="C63" s="29" t="s">
        <v>747</v>
      </c>
    </row>
    <row r="64" ht="15" customHeight="1" spans="1:3">
      <c r="A64" s="27">
        <v>9.1</v>
      </c>
      <c r="B64" s="28" t="s">
        <v>767</v>
      </c>
      <c r="C64" s="29" t="s">
        <v>747</v>
      </c>
    </row>
    <row r="65" ht="15" customHeight="1" spans="1:3">
      <c r="A65" s="27">
        <v>9.2</v>
      </c>
      <c r="B65" s="28" t="s">
        <v>768</v>
      </c>
      <c r="C65" s="29" t="s">
        <v>747</v>
      </c>
    </row>
    <row r="66" ht="15" customHeight="1" spans="1:3">
      <c r="A66" s="27">
        <v>9.3</v>
      </c>
      <c r="B66" s="28" t="s">
        <v>505</v>
      </c>
      <c r="C66" s="29" t="s">
        <v>747</v>
      </c>
    </row>
    <row r="67" ht="15" customHeight="1" spans="1:3">
      <c r="A67" s="27">
        <v>10.1</v>
      </c>
      <c r="B67" s="28" t="s">
        <v>506</v>
      </c>
      <c r="C67" s="29" t="s">
        <v>747</v>
      </c>
    </row>
    <row r="68" ht="15" customHeight="1" spans="1:3">
      <c r="A68" s="27">
        <v>10.2</v>
      </c>
      <c r="B68" s="28" t="s">
        <v>769</v>
      </c>
      <c r="C68" s="29" t="s">
        <v>747</v>
      </c>
    </row>
    <row r="69" ht="15" customHeight="1" spans="1:3">
      <c r="A69" s="27">
        <v>10.3</v>
      </c>
      <c r="B69" s="28" t="s">
        <v>744</v>
      </c>
      <c r="C69" s="29" t="s">
        <v>747</v>
      </c>
    </row>
    <row r="70" ht="15" customHeight="1" spans="1:3">
      <c r="A70" s="27">
        <v>11.1</v>
      </c>
      <c r="B70" s="28" t="s">
        <v>770</v>
      </c>
      <c r="C70" s="29" t="s">
        <v>747</v>
      </c>
    </row>
    <row r="71" ht="15" customHeight="1" spans="1:3">
      <c r="A71" s="27">
        <v>11.2</v>
      </c>
      <c r="B71" s="28" t="s">
        <v>771</v>
      </c>
      <c r="C71" s="29" t="s">
        <v>747</v>
      </c>
    </row>
    <row r="72" ht="15" customHeight="1" spans="1:3">
      <c r="A72" s="27">
        <v>11.3</v>
      </c>
      <c r="B72" s="28" t="s">
        <v>772</v>
      </c>
      <c r="C72" s="29" t="s">
        <v>747</v>
      </c>
    </row>
    <row r="73" ht="15" customHeight="1" spans="1:3">
      <c r="A73" s="27">
        <v>12.1</v>
      </c>
      <c r="B73" s="28" t="s">
        <v>773</v>
      </c>
      <c r="C73" s="29" t="s">
        <v>747</v>
      </c>
    </row>
    <row r="74" ht="15" customHeight="1" spans="1:3">
      <c r="A74" s="27">
        <v>12.2</v>
      </c>
      <c r="B74" s="28" t="s">
        <v>774</v>
      </c>
      <c r="C74" s="29" t="s">
        <v>747</v>
      </c>
    </row>
    <row r="75" ht="15" customHeight="1" spans="1:3">
      <c r="A75" s="27">
        <v>1.1</v>
      </c>
      <c r="B75" s="28" t="s">
        <v>775</v>
      </c>
      <c r="C75" s="30" t="s">
        <v>776</v>
      </c>
    </row>
    <row r="76" ht="15" customHeight="1" spans="1:3">
      <c r="A76" s="27">
        <v>1.2</v>
      </c>
      <c r="B76" s="28" t="s">
        <v>748</v>
      </c>
      <c r="C76" s="30" t="s">
        <v>776</v>
      </c>
    </row>
    <row r="77" ht="15" customHeight="1" spans="1:3">
      <c r="A77" s="27">
        <v>1.3</v>
      </c>
      <c r="B77" s="28" t="s">
        <v>777</v>
      </c>
      <c r="C77" s="30" t="s">
        <v>776</v>
      </c>
    </row>
    <row r="78" ht="15" customHeight="1" spans="1:3">
      <c r="A78" s="27">
        <v>1.4</v>
      </c>
      <c r="B78" s="28" t="s">
        <v>778</v>
      </c>
      <c r="C78" s="30" t="s">
        <v>776</v>
      </c>
    </row>
    <row r="79" ht="15" customHeight="1" spans="1:3">
      <c r="A79" s="27">
        <v>2.1</v>
      </c>
      <c r="B79" s="28" t="s">
        <v>750</v>
      </c>
      <c r="C79" s="30" t="s">
        <v>776</v>
      </c>
    </row>
    <row r="80" ht="15" customHeight="1" spans="1:3">
      <c r="A80" s="27">
        <v>2.2</v>
      </c>
      <c r="B80" s="28" t="s">
        <v>751</v>
      </c>
      <c r="C80" s="30" t="s">
        <v>776</v>
      </c>
    </row>
    <row r="81" ht="15" customHeight="1" spans="1:3">
      <c r="A81" s="27">
        <v>2.3</v>
      </c>
      <c r="B81" s="28" t="s">
        <v>752</v>
      </c>
      <c r="C81" s="30" t="s">
        <v>776</v>
      </c>
    </row>
    <row r="82" ht="15" customHeight="1" spans="1:3">
      <c r="A82" s="27">
        <v>2.4</v>
      </c>
      <c r="B82" s="28" t="s">
        <v>753</v>
      </c>
      <c r="C82" s="30" t="s">
        <v>776</v>
      </c>
    </row>
    <row r="83" ht="15" customHeight="1" spans="1:3">
      <c r="A83" s="27">
        <v>3.1</v>
      </c>
      <c r="B83" s="28" t="s">
        <v>779</v>
      </c>
      <c r="C83" s="30" t="s">
        <v>776</v>
      </c>
    </row>
    <row r="84" ht="15" customHeight="1" spans="1:3">
      <c r="A84" s="27">
        <v>3.2</v>
      </c>
      <c r="B84" s="28" t="s">
        <v>780</v>
      </c>
      <c r="C84" s="30" t="s">
        <v>776</v>
      </c>
    </row>
    <row r="85" ht="15" customHeight="1" spans="1:3">
      <c r="A85" s="27">
        <v>3.3</v>
      </c>
      <c r="B85" s="28" t="s">
        <v>781</v>
      </c>
      <c r="C85" s="30" t="s">
        <v>776</v>
      </c>
    </row>
    <row r="86" ht="15" customHeight="1" spans="1:3">
      <c r="A86" s="27">
        <v>3.4</v>
      </c>
      <c r="B86" s="28" t="s">
        <v>757</v>
      </c>
      <c r="C86" s="30" t="s">
        <v>776</v>
      </c>
    </row>
    <row r="87" ht="15" customHeight="1" spans="1:3">
      <c r="A87" s="27">
        <v>4.1</v>
      </c>
      <c r="B87" s="28" t="s">
        <v>782</v>
      </c>
      <c r="C87" s="30" t="s">
        <v>776</v>
      </c>
    </row>
    <row r="88" ht="15" customHeight="1" spans="1:3">
      <c r="A88" s="27">
        <v>4.2</v>
      </c>
      <c r="B88" s="28" t="s">
        <v>759</v>
      </c>
      <c r="C88" s="30" t="s">
        <v>776</v>
      </c>
    </row>
    <row r="89" ht="15" customHeight="1" spans="1:3">
      <c r="A89" s="27">
        <v>4.3</v>
      </c>
      <c r="B89" s="28" t="s">
        <v>491</v>
      </c>
      <c r="C89" s="30" t="s">
        <v>776</v>
      </c>
    </row>
    <row r="90" ht="15" customHeight="1" spans="1:3">
      <c r="A90" s="27">
        <v>4.4</v>
      </c>
      <c r="B90" s="28" t="s">
        <v>492</v>
      </c>
      <c r="C90" s="30" t="s">
        <v>776</v>
      </c>
    </row>
    <row r="91" ht="15" customHeight="1" spans="1:3">
      <c r="A91" s="27">
        <v>5.1</v>
      </c>
      <c r="B91" s="28" t="s">
        <v>760</v>
      </c>
      <c r="C91" s="30" t="s">
        <v>776</v>
      </c>
    </row>
    <row r="92" ht="15" customHeight="1" spans="1:3">
      <c r="A92" s="27">
        <v>5.2</v>
      </c>
      <c r="B92" s="28" t="s">
        <v>783</v>
      </c>
      <c r="C92" s="30" t="s">
        <v>776</v>
      </c>
    </row>
    <row r="93" ht="15" customHeight="1" spans="1:3">
      <c r="A93" s="27">
        <v>5.3</v>
      </c>
      <c r="B93" s="28" t="s">
        <v>495</v>
      </c>
      <c r="C93" s="30" t="s">
        <v>776</v>
      </c>
    </row>
    <row r="94" ht="15" customHeight="1" spans="1:3">
      <c r="A94" s="27">
        <v>6.1</v>
      </c>
      <c r="B94" s="28" t="s">
        <v>762</v>
      </c>
      <c r="C94" s="30" t="s">
        <v>776</v>
      </c>
    </row>
    <row r="95" ht="15" customHeight="1" spans="1:3">
      <c r="A95" s="27">
        <v>6.2</v>
      </c>
      <c r="B95" s="28" t="s">
        <v>784</v>
      </c>
      <c r="C95" s="30" t="s">
        <v>776</v>
      </c>
    </row>
    <row r="96" ht="15" customHeight="1" spans="1:3">
      <c r="A96" s="27">
        <v>7.1</v>
      </c>
      <c r="B96" s="28" t="s">
        <v>763</v>
      </c>
      <c r="C96" s="30" t="s">
        <v>776</v>
      </c>
    </row>
    <row r="97" ht="15" customHeight="1" spans="1:3">
      <c r="A97" s="27">
        <v>7.2</v>
      </c>
      <c r="B97" s="28" t="s">
        <v>785</v>
      </c>
      <c r="C97" s="30" t="s">
        <v>776</v>
      </c>
    </row>
    <row r="98" ht="15" customHeight="1" spans="1:3">
      <c r="A98" s="27">
        <v>8.1</v>
      </c>
      <c r="B98" s="28" t="s">
        <v>740</v>
      </c>
      <c r="C98" s="30" t="s">
        <v>776</v>
      </c>
    </row>
    <row r="99" ht="15" customHeight="1" spans="1:3">
      <c r="A99" s="27">
        <v>8.2</v>
      </c>
      <c r="B99" s="28" t="s">
        <v>765</v>
      </c>
      <c r="C99" s="30" t="s">
        <v>776</v>
      </c>
    </row>
    <row r="100" ht="15" customHeight="1" spans="1:3">
      <c r="A100" s="27">
        <v>8.3</v>
      </c>
      <c r="B100" s="28" t="s">
        <v>766</v>
      </c>
      <c r="C100" s="30" t="s">
        <v>776</v>
      </c>
    </row>
    <row r="101" ht="15" customHeight="1" spans="1:3">
      <c r="A101" s="27">
        <v>9.1</v>
      </c>
      <c r="B101" s="28" t="s">
        <v>767</v>
      </c>
      <c r="C101" s="30" t="s">
        <v>776</v>
      </c>
    </row>
    <row r="102" ht="15" customHeight="1" spans="1:3">
      <c r="A102" s="27">
        <v>9.2</v>
      </c>
      <c r="B102" s="28" t="s">
        <v>786</v>
      </c>
      <c r="C102" s="30" t="s">
        <v>776</v>
      </c>
    </row>
    <row r="103" ht="15" customHeight="1" spans="1:3">
      <c r="A103" s="27">
        <v>9.3</v>
      </c>
      <c r="B103" s="28" t="s">
        <v>505</v>
      </c>
      <c r="C103" s="30" t="s">
        <v>776</v>
      </c>
    </row>
    <row r="104" ht="15" customHeight="1" spans="1:3">
      <c r="A104" s="27">
        <v>10.1</v>
      </c>
      <c r="B104" s="28" t="s">
        <v>787</v>
      </c>
      <c r="C104" s="30" t="s">
        <v>776</v>
      </c>
    </row>
    <row r="105" ht="15" customHeight="1" spans="1:3">
      <c r="A105" s="27">
        <v>10.2</v>
      </c>
      <c r="B105" s="28" t="s">
        <v>769</v>
      </c>
      <c r="C105" s="30" t="s">
        <v>776</v>
      </c>
    </row>
    <row r="106" ht="15" customHeight="1" spans="1:3">
      <c r="A106" s="27">
        <v>10.3</v>
      </c>
      <c r="B106" s="28" t="s">
        <v>744</v>
      </c>
      <c r="C106" s="30" t="s">
        <v>776</v>
      </c>
    </row>
    <row r="107" ht="15" customHeight="1" spans="1:3">
      <c r="A107" s="27">
        <v>11.1</v>
      </c>
      <c r="B107" s="28" t="s">
        <v>770</v>
      </c>
      <c r="C107" s="30" t="s">
        <v>776</v>
      </c>
    </row>
    <row r="108" ht="15" customHeight="1" spans="1:3">
      <c r="A108" s="27">
        <v>11.2</v>
      </c>
      <c r="B108" s="28" t="s">
        <v>771</v>
      </c>
      <c r="C108" s="30" t="s">
        <v>776</v>
      </c>
    </row>
    <row r="109" ht="15" customHeight="1" spans="1:3">
      <c r="A109" s="27">
        <v>11.3</v>
      </c>
      <c r="B109" s="28" t="s">
        <v>772</v>
      </c>
      <c r="C109" s="30" t="s">
        <v>776</v>
      </c>
    </row>
    <row r="110" ht="15" customHeight="1" spans="1:3">
      <c r="A110" s="27">
        <v>12.1</v>
      </c>
      <c r="B110" s="28" t="s">
        <v>773</v>
      </c>
      <c r="C110" s="30" t="s">
        <v>776</v>
      </c>
    </row>
    <row r="111" ht="15" customHeight="1" spans="1:3">
      <c r="A111" s="27">
        <v>12.2</v>
      </c>
      <c r="B111" s="28" t="s">
        <v>774</v>
      </c>
      <c r="C111" s="30" t="s">
        <v>776</v>
      </c>
    </row>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CC34"/>
  <sheetViews>
    <sheetView topLeftCell="CD1" workbookViewId="0">
      <selection activeCell="CJ8" sqref="CJ8"/>
    </sheetView>
  </sheetViews>
  <sheetFormatPr defaultColWidth="9" defaultRowHeight="14"/>
  <cols>
    <col min="1" max="1" width="10.6666666666667" hidden="1" customWidth="1"/>
    <col min="2" max="2" width="12.2166666666667" hidden="1" customWidth="1"/>
    <col min="3" max="81" width="9" hidden="1" customWidth="1"/>
  </cols>
  <sheetData>
    <row r="1" spans="1:2">
      <c r="A1" s="4" t="s">
        <v>788</v>
      </c>
      <c r="B1" s="4">
        <f>COUNTA('3、期末成绩'!B2:B100)</f>
        <v>70</v>
      </c>
    </row>
    <row r="2" customFormat="1"/>
    <row r="3" spans="1:81">
      <c r="A3" s="5"/>
      <c r="B3" s="6" t="s">
        <v>73</v>
      </c>
      <c r="C3" s="6" t="s">
        <v>76</v>
      </c>
      <c r="D3" s="6" t="s">
        <v>78</v>
      </c>
      <c r="E3" s="6" t="s">
        <v>80</v>
      </c>
      <c r="F3" s="6" t="s">
        <v>81</v>
      </c>
      <c r="G3" s="6" t="s">
        <v>85</v>
      </c>
      <c r="H3" s="6" t="s">
        <v>86</v>
      </c>
      <c r="I3" s="6" t="s">
        <v>87</v>
      </c>
      <c r="J3" s="6" t="s">
        <v>88</v>
      </c>
      <c r="K3" s="6" t="s">
        <v>89</v>
      </c>
      <c r="L3" s="6" t="s">
        <v>90</v>
      </c>
      <c r="M3" s="6" t="s">
        <v>91</v>
      </c>
      <c r="N3" s="6" t="s">
        <v>92</v>
      </c>
      <c r="O3" s="6" t="s">
        <v>93</v>
      </c>
      <c r="P3" s="6" t="s">
        <v>94</v>
      </c>
      <c r="Q3" s="6" t="s">
        <v>95</v>
      </c>
      <c r="R3" s="6" t="s">
        <v>96</v>
      </c>
      <c r="S3" s="6" t="s">
        <v>97</v>
      </c>
      <c r="T3" s="6" t="s">
        <v>98</v>
      </c>
      <c r="U3" s="6" t="s">
        <v>99</v>
      </c>
      <c r="V3" s="6" t="s">
        <v>100</v>
      </c>
      <c r="W3" s="6" t="s">
        <v>101</v>
      </c>
      <c r="X3" s="6" t="s">
        <v>102</v>
      </c>
      <c r="Y3" s="6" t="s">
        <v>103</v>
      </c>
      <c r="Z3" s="6" t="s">
        <v>104</v>
      </c>
      <c r="AA3" s="6" t="s">
        <v>105</v>
      </c>
      <c r="AB3" s="6" t="s">
        <v>106</v>
      </c>
      <c r="AC3" s="6" t="s">
        <v>107</v>
      </c>
      <c r="AD3" s="6" t="s">
        <v>108</v>
      </c>
      <c r="AE3" s="6" t="s">
        <v>109</v>
      </c>
      <c r="AF3" s="6" t="s">
        <v>110</v>
      </c>
      <c r="AG3" s="6" t="s">
        <v>111</v>
      </c>
      <c r="AH3" s="6" t="s">
        <v>112</v>
      </c>
      <c r="AI3" s="6" t="s">
        <v>113</v>
      </c>
      <c r="AJ3" s="6" t="s">
        <v>114</v>
      </c>
      <c r="AK3" s="6" t="s">
        <v>115</v>
      </c>
      <c r="AL3" s="6" t="s">
        <v>116</v>
      </c>
      <c r="AM3" s="6" t="s">
        <v>117</v>
      </c>
      <c r="AN3" s="6" t="s">
        <v>118</v>
      </c>
      <c r="AO3" s="6" t="s">
        <v>119</v>
      </c>
      <c r="AP3" s="6" t="s">
        <v>120</v>
      </c>
      <c r="AQ3" s="6" t="s">
        <v>121</v>
      </c>
      <c r="AR3" s="6" t="s">
        <v>122</v>
      </c>
      <c r="AS3" s="6" t="s">
        <v>123</v>
      </c>
      <c r="AT3" s="6" t="s">
        <v>124</v>
      </c>
      <c r="AU3" s="6" t="s">
        <v>125</v>
      </c>
      <c r="AV3" s="6" t="s">
        <v>126</v>
      </c>
      <c r="AW3" s="6" t="s">
        <v>127</v>
      </c>
      <c r="AX3" s="6" t="s">
        <v>128</v>
      </c>
      <c r="AY3" s="6" t="s">
        <v>129</v>
      </c>
      <c r="AZ3" s="6" t="s">
        <v>130</v>
      </c>
      <c r="BA3" s="6" t="s">
        <v>131</v>
      </c>
      <c r="BB3" s="6" t="s">
        <v>132</v>
      </c>
      <c r="BC3" s="6" t="s">
        <v>133</v>
      </c>
      <c r="BD3" s="6" t="s">
        <v>134</v>
      </c>
      <c r="BE3" s="6" t="s">
        <v>135</v>
      </c>
      <c r="BF3" s="6" t="s">
        <v>136</v>
      </c>
      <c r="BG3" s="6" t="s">
        <v>137</v>
      </c>
      <c r="BH3" s="6" t="s">
        <v>138</v>
      </c>
      <c r="BI3" s="6" t="s">
        <v>139</v>
      </c>
      <c r="BJ3" s="6" t="s">
        <v>140</v>
      </c>
      <c r="BK3" s="6" t="s">
        <v>141</v>
      </c>
      <c r="BL3" s="6" t="s">
        <v>142</v>
      </c>
      <c r="BM3" s="6" t="s">
        <v>143</v>
      </c>
      <c r="BN3" s="6" t="s">
        <v>144</v>
      </c>
      <c r="BO3" s="6" t="s">
        <v>145</v>
      </c>
      <c r="BP3" s="6" t="s">
        <v>146</v>
      </c>
      <c r="BQ3" s="6" t="s">
        <v>147</v>
      </c>
      <c r="BR3" s="6" t="s">
        <v>148</v>
      </c>
      <c r="BS3" s="6" t="s">
        <v>149</v>
      </c>
      <c r="BT3" s="6" t="s">
        <v>150</v>
      </c>
      <c r="BU3" s="6" t="s">
        <v>151</v>
      </c>
      <c r="BV3" s="6" t="s">
        <v>152</v>
      </c>
      <c r="BW3" s="6" t="s">
        <v>153</v>
      </c>
      <c r="BX3" s="6" t="s">
        <v>154</v>
      </c>
      <c r="BY3" s="6" t="s">
        <v>155</v>
      </c>
      <c r="BZ3" s="6" t="s">
        <v>156</v>
      </c>
      <c r="CA3" s="6" t="s">
        <v>157</v>
      </c>
      <c r="CB3" s="6" t="s">
        <v>158</v>
      </c>
      <c r="CC3" s="6" t="s">
        <v>159</v>
      </c>
    </row>
    <row r="4" spans="1:81">
      <c r="A4" s="7" t="s">
        <v>789</v>
      </c>
      <c r="B4" s="8">
        <f ca="1">IF(ISBLANK('3、期末成绩'!C2)," ",SUM(INDIRECT(ADDRESS(2,COLUMN(B4)+1,,,"3、期末成绩")):INDIRECT(ADDRESS(($B$1+1),COLUMN(B4)+1,,,"3、期末成绩"))))</f>
        <v>1330</v>
      </c>
      <c r="C4" s="8">
        <f ca="1">IF(ISBLANK('3、期末成绩'!D2)," ",SUM(INDIRECT(ADDRESS(2,COLUMN(C4)+1,,,"3、期末成绩")):INDIRECT(ADDRESS(($B$1+1),COLUMN(C4)+1,,,"3、期末成绩"))))</f>
        <v>1330</v>
      </c>
      <c r="D4" s="8">
        <f ca="1">IF(ISBLANK('3、期末成绩'!E2)," ",SUM(INDIRECT(ADDRESS(2,COLUMN(D4)+1,,,"3、期末成绩")):INDIRECT(ADDRESS(($B$1+1),COLUMN(D4)+1,,,"3、期末成绩"))))</f>
        <v>1330</v>
      </c>
      <c r="E4" s="8">
        <f ca="1">IF(ISBLANK('3、期末成绩'!F2)," ",SUM(INDIRECT(ADDRESS(2,COLUMN(E4)+1,,,"3、期末成绩")):INDIRECT(ADDRESS(($B$1+1),COLUMN(E4)+1,,,"3、期末成绩"))))</f>
        <v>1330</v>
      </c>
      <c r="F4" s="8">
        <f ca="1">IF(ISBLANK('3、期末成绩'!G2)," ",SUM(INDIRECT(ADDRESS(2,COLUMN(F4)+1,,,"3、期末成绩")):INDIRECT(ADDRESS(($B$1+1),COLUMN(F4)+1,,,"3、期末成绩"))))</f>
        <v>1330</v>
      </c>
      <c r="G4" s="8" t="str">
        <f ca="1">IF(ISBLANK('3、期末成绩'!H2)," ",SUM(INDIRECT(ADDRESS(2,COLUMN(G4)+1,,,"3、期末成绩")):INDIRECT(ADDRESS(($B$1+1),COLUMN(G4)+1,,,"3、期末成绩"))))</f>
        <v> </v>
      </c>
      <c r="H4" s="8" t="str">
        <f ca="1">IF(ISBLANK('3、期末成绩'!I2)," ",SUM(INDIRECT(ADDRESS(2,COLUMN(H4)+1,,,"3、期末成绩")):INDIRECT(ADDRESS(($B$1+1),COLUMN(H4)+1,,,"3、期末成绩"))))</f>
        <v> </v>
      </c>
      <c r="I4" s="8" t="str">
        <f ca="1">IF(ISBLANK('3、期末成绩'!J2)," ",SUM(INDIRECT(ADDRESS(2,COLUMN(I4)+1,,,"3、期末成绩")):INDIRECT(ADDRESS(($B$1+1),COLUMN(I4)+1,,,"3、期末成绩"))))</f>
        <v> </v>
      </c>
      <c r="J4" s="8" t="str">
        <f ca="1">IF(ISBLANK('3、期末成绩'!K2)," ",SUM(INDIRECT(ADDRESS(2,COLUMN(J4)+1,,,"3、期末成绩")):INDIRECT(ADDRESS(($B$1+1),COLUMN(J4)+1,,,"3、期末成绩"))))</f>
        <v> </v>
      </c>
      <c r="K4" s="8" t="str">
        <f ca="1">IF(ISBLANK('3、期末成绩'!L2)," ",SUM(INDIRECT(ADDRESS(2,COLUMN(K4)+1,,,"3、期末成绩")):INDIRECT(ADDRESS(($B$1+1),COLUMN(K4)+1,,,"3、期末成绩"))))</f>
        <v> </v>
      </c>
      <c r="L4" s="8" t="str">
        <f ca="1">IF(ISBLANK('3、期末成绩'!M2)," ",SUM(INDIRECT(ADDRESS(2,COLUMN(L4)+1,,,"3、期末成绩")):INDIRECT(ADDRESS(($B$1+1),COLUMN(L4)+1,,,"3、期末成绩"))))</f>
        <v> </v>
      </c>
      <c r="M4" s="8" t="str">
        <f ca="1">IF(ISBLANK('3、期末成绩'!N2)," ",SUM(INDIRECT(ADDRESS(2,COLUMN(M4)+1,,,"3、期末成绩")):INDIRECT(ADDRESS(($B$1+1),COLUMN(M4)+1,,,"3、期末成绩"))))</f>
        <v> </v>
      </c>
      <c r="N4" s="8" t="str">
        <f ca="1">IF(ISBLANK('3、期末成绩'!O2)," ",SUM(INDIRECT(ADDRESS(2,COLUMN(N4)+1,,,"3、期末成绩")):INDIRECT(ADDRESS(($B$1+1),COLUMN(N4)+1,,,"3、期末成绩"))))</f>
        <v> </v>
      </c>
      <c r="O4" s="8" t="str">
        <f ca="1">IF(ISBLANK('3、期末成绩'!P2)," ",SUM(INDIRECT(ADDRESS(2,COLUMN(O4)+1,,,"3、期末成绩")):INDIRECT(ADDRESS(($B$1+1),COLUMN(O4)+1,,,"3、期末成绩"))))</f>
        <v> </v>
      </c>
      <c r="P4" s="8" t="str">
        <f ca="1">IF(ISBLANK('3、期末成绩'!Q2)," ",SUM(INDIRECT(ADDRESS(2,COLUMN(P4)+1,,,"3、期末成绩")):INDIRECT(ADDRESS(($B$1+1),COLUMN(P4)+1,,,"3、期末成绩"))))</f>
        <v> </v>
      </c>
      <c r="Q4" s="8" t="str">
        <f ca="1">IF(ISBLANK('3、期末成绩'!R2)," ",SUM(INDIRECT(ADDRESS(2,COLUMN(Q4)+1,,,"3、期末成绩")):INDIRECT(ADDRESS(($B$1+1),COLUMN(Q4)+1,,,"3、期末成绩"))))</f>
        <v> </v>
      </c>
      <c r="R4" s="8" t="str">
        <f ca="1">IF(ISBLANK('3、期末成绩'!S2)," ",SUM(INDIRECT(ADDRESS(2,COLUMN(R4)+1,,,"3、期末成绩")):INDIRECT(ADDRESS(($B$1+1),COLUMN(R4)+1,,,"3、期末成绩"))))</f>
        <v> </v>
      </c>
      <c r="S4" s="8" t="str">
        <f ca="1">IF(ISBLANK('3、期末成绩'!T2)," ",SUM(INDIRECT(ADDRESS(2,COLUMN(S4)+1,,,"3、期末成绩")):INDIRECT(ADDRESS(($B$1+1),COLUMN(S4)+1,,,"3、期末成绩"))))</f>
        <v> </v>
      </c>
      <c r="T4" s="8" t="str">
        <f ca="1">IF(ISBLANK('3、期末成绩'!U2)," ",SUM(INDIRECT(ADDRESS(2,COLUMN(T4)+1,,,"3、期末成绩")):INDIRECT(ADDRESS(($B$1+1),COLUMN(T4)+1,,,"3、期末成绩"))))</f>
        <v> </v>
      </c>
      <c r="U4" s="8" t="str">
        <f ca="1">IF(ISBLANK('3、期末成绩'!V2)," ",SUM(INDIRECT(ADDRESS(2,COLUMN(U4)+1,,,"3、期末成绩")):INDIRECT(ADDRESS(($B$1+1),COLUMN(U4)+1,,,"3、期末成绩"))))</f>
        <v> </v>
      </c>
      <c r="V4" s="8" t="str">
        <f ca="1">IF(ISBLANK('3、期末成绩'!W2)," ",SUM(INDIRECT(ADDRESS(2,COLUMN(V4)+1,,,"3、期末成绩")):INDIRECT(ADDRESS(($B$1+1),COLUMN(V4)+1,,,"3、期末成绩"))))</f>
        <v> </v>
      </c>
      <c r="W4" s="8" t="str">
        <f ca="1">IF(ISBLANK('3、期末成绩'!X2)," ",SUM(INDIRECT(ADDRESS(2,COLUMN(W4)+1,,,"3、期末成绩")):INDIRECT(ADDRESS(($B$1+1),COLUMN(W4)+1,,,"3、期末成绩"))))</f>
        <v> </v>
      </c>
      <c r="X4" s="8" t="str">
        <f ca="1">IF(ISBLANK('3、期末成绩'!Y2)," ",SUM(INDIRECT(ADDRESS(2,COLUMN(X4)+1,,,"3、期末成绩")):INDIRECT(ADDRESS(($B$1+1),COLUMN(X4)+1,,,"3、期末成绩"))))</f>
        <v> </v>
      </c>
      <c r="Y4" s="8" t="str">
        <f ca="1">IF(ISBLANK('3、期末成绩'!Z2)," ",SUM(INDIRECT(ADDRESS(2,COLUMN(Y4)+1,,,"3、期末成绩")):INDIRECT(ADDRESS(($B$1+1),COLUMN(Y4)+1,,,"3、期末成绩"))))</f>
        <v> </v>
      </c>
      <c r="Z4" s="8" t="str">
        <f ca="1">IF(ISBLANK('3、期末成绩'!AA2)," ",SUM(INDIRECT(ADDRESS(2,COLUMN(Z4)+1,,,"3、期末成绩")):INDIRECT(ADDRESS(($B$1+1),COLUMN(Z4)+1,,,"3、期末成绩"))))</f>
        <v> </v>
      </c>
      <c r="AA4" s="8" t="str">
        <f ca="1">IF(ISBLANK('3、期末成绩'!AB2)," ",SUM(INDIRECT(ADDRESS(2,COLUMN(AA4)+1,,,"3、期末成绩")):INDIRECT(ADDRESS(($B$1+1),COLUMN(AA4)+1,,,"3、期末成绩"))))</f>
        <v> </v>
      </c>
      <c r="AB4" s="8" t="str">
        <f ca="1">IF(ISBLANK('3、期末成绩'!AC2)," ",SUM(INDIRECT(ADDRESS(2,COLUMN(AB4)+1,,,"3、期末成绩")):INDIRECT(ADDRESS(($B$1+1),COLUMN(AB4)+1,,,"3、期末成绩"))))</f>
        <v> </v>
      </c>
      <c r="AC4" s="8" t="str">
        <f ca="1">IF(ISBLANK('3、期末成绩'!AD2)," ",SUM(INDIRECT(ADDRESS(2,COLUMN(AC4)+1,,,"3、期末成绩")):INDIRECT(ADDRESS(($B$1+1),COLUMN(AC4)+1,,,"3、期末成绩"))))</f>
        <v> </v>
      </c>
      <c r="AD4" s="8" t="str">
        <f ca="1">IF(ISBLANK('3、期末成绩'!AE2)," ",SUM(INDIRECT(ADDRESS(2,COLUMN(AD4)+1,,,"3、期末成绩")):INDIRECT(ADDRESS(($B$1+1),COLUMN(AD4)+1,,,"3、期末成绩"))))</f>
        <v> </v>
      </c>
      <c r="AE4" s="8" t="str">
        <f ca="1">IF(ISBLANK('3、期末成绩'!AF2)," ",SUM(INDIRECT(ADDRESS(2,COLUMN(AE4)+1,,,"3、期末成绩")):INDIRECT(ADDRESS(($B$1+1),COLUMN(AE4)+1,,,"3、期末成绩"))))</f>
        <v> </v>
      </c>
      <c r="AF4" s="8" t="str">
        <f ca="1">IF(ISBLANK('3、期末成绩'!AG2)," ",SUM(INDIRECT(ADDRESS(2,COLUMN(AF4)+1,,,"3、期末成绩")):INDIRECT(ADDRESS(($B$1+1),COLUMN(AF4)+1,,,"3、期末成绩"))))</f>
        <v> </v>
      </c>
      <c r="AG4" s="8" t="str">
        <f ca="1">IF(ISBLANK('3、期末成绩'!AH2)," ",SUM(INDIRECT(ADDRESS(2,COLUMN(AG4)+1,,,"3、期末成绩")):INDIRECT(ADDRESS(($B$1+1),COLUMN(AG4)+1,,,"3、期末成绩"))))</f>
        <v> </v>
      </c>
      <c r="AH4" s="8" t="str">
        <f ca="1">IF(ISBLANK('3、期末成绩'!AI2)," ",SUM(INDIRECT(ADDRESS(2,COLUMN(AH4)+1,,,"3、期末成绩")):INDIRECT(ADDRESS(($B$1+1),COLUMN(AH4)+1,,,"3、期末成绩"))))</f>
        <v> </v>
      </c>
      <c r="AI4" s="8" t="str">
        <f ca="1">IF(ISBLANK('3、期末成绩'!AJ2)," ",SUM(INDIRECT(ADDRESS(2,COLUMN(AI4)+1,,,"3、期末成绩")):INDIRECT(ADDRESS(($B$1+1),COLUMN(AI4)+1,,,"3、期末成绩"))))</f>
        <v> </v>
      </c>
      <c r="AJ4" s="8" t="str">
        <f ca="1">IF(ISBLANK('3、期末成绩'!AK2)," ",SUM(INDIRECT(ADDRESS(2,COLUMN(AJ4)+1,,,"3、期末成绩")):INDIRECT(ADDRESS(($B$1+1),COLUMN(AJ4)+1,,,"3、期末成绩"))))</f>
        <v> </v>
      </c>
      <c r="AK4" s="8" t="str">
        <f ca="1">IF(ISBLANK('3、期末成绩'!AL2)," ",SUM(INDIRECT(ADDRESS(2,COLUMN(AK4)+1,,,"3、期末成绩")):INDIRECT(ADDRESS(($B$1+1),COLUMN(AK4)+1,,,"3、期末成绩"))))</f>
        <v> </v>
      </c>
      <c r="AL4" s="8" t="str">
        <f ca="1">IF(ISBLANK('3、期末成绩'!AM2)," ",SUM(INDIRECT(ADDRESS(2,COLUMN(AL4)+1,,,"3、期末成绩")):INDIRECT(ADDRESS(($B$1+1),COLUMN(AL4)+1,,,"3、期末成绩"))))</f>
        <v> </v>
      </c>
      <c r="AM4" s="8" t="str">
        <f ca="1">IF(ISBLANK('3、期末成绩'!AN2)," ",SUM(INDIRECT(ADDRESS(2,COLUMN(AM4)+1,,,"3、期末成绩")):INDIRECT(ADDRESS(($B$1+1),COLUMN(AM4)+1,,,"3、期末成绩"))))</f>
        <v> </v>
      </c>
      <c r="AN4" s="8" t="str">
        <f ca="1">IF(ISBLANK('3、期末成绩'!AO2)," ",SUM(INDIRECT(ADDRESS(2,COLUMN(AN4)+1,,,"3、期末成绩")):INDIRECT(ADDRESS(($B$1+1),COLUMN(AN4)+1,,,"3、期末成绩"))))</f>
        <v> </v>
      </c>
      <c r="AO4" s="8" t="str">
        <f ca="1">IF(ISBLANK('3、期末成绩'!AP2)," ",SUM(INDIRECT(ADDRESS(2,COLUMN(AO4)+1,,,"3、期末成绩")):INDIRECT(ADDRESS(($B$1+1),COLUMN(AO4)+1,,,"3、期末成绩"))))</f>
        <v> </v>
      </c>
      <c r="AP4" s="8" t="str">
        <f ca="1">IF(ISBLANK('3、期末成绩'!AQ2)," ",SUM(INDIRECT(ADDRESS(2,COLUMN(AP4)+1,,,"3、期末成绩")):INDIRECT(ADDRESS(($B$1+1),COLUMN(AP4)+1,,,"3、期末成绩"))))</f>
        <v> </v>
      </c>
      <c r="AQ4" s="8" t="str">
        <f ca="1">IF(ISBLANK('3、期末成绩'!AR2)," ",SUM(INDIRECT(ADDRESS(2,COLUMN(AQ4)+1,,,"3、期末成绩")):INDIRECT(ADDRESS(($B$1+1),COLUMN(AQ4)+1,,,"3、期末成绩"))))</f>
        <v> </v>
      </c>
      <c r="AR4" s="8" t="str">
        <f ca="1">IF(ISBLANK('3、期末成绩'!AS2)," ",SUM(INDIRECT(ADDRESS(2,COLUMN(AR4)+1,,,"3、期末成绩")):INDIRECT(ADDRESS(($B$1+1),COLUMN(AR4)+1,,,"3、期末成绩"))))</f>
        <v> </v>
      </c>
      <c r="AS4" s="8" t="str">
        <f ca="1">IF(ISBLANK('3、期末成绩'!AT2)," ",SUM(INDIRECT(ADDRESS(2,COLUMN(AS4)+1,,,"3、期末成绩")):INDIRECT(ADDRESS(($B$1+1),COLUMN(AS4)+1,,,"3、期末成绩"))))</f>
        <v> </v>
      </c>
      <c r="AT4" s="8" t="str">
        <f ca="1">IF(ISBLANK('3、期末成绩'!AU2)," ",SUM(INDIRECT(ADDRESS(2,COLUMN(AT4)+1,,,"3、期末成绩")):INDIRECT(ADDRESS(($B$1+1),COLUMN(AT4)+1,,,"3、期末成绩"))))</f>
        <v> </v>
      </c>
      <c r="AU4" s="8" t="str">
        <f ca="1">IF(ISBLANK('3、期末成绩'!AV2)," ",SUM(INDIRECT(ADDRESS(2,COLUMN(AU4)+1,,,"3、期末成绩")):INDIRECT(ADDRESS(($B$1+1),COLUMN(AU4)+1,,,"3、期末成绩"))))</f>
        <v> </v>
      </c>
      <c r="AV4" s="8" t="str">
        <f ca="1">IF(ISBLANK('3、期末成绩'!AW2)," ",SUM(INDIRECT(ADDRESS(2,COLUMN(AV4)+1,,,"3、期末成绩")):INDIRECT(ADDRESS(($B$1+1),COLUMN(AV4)+1,,,"3、期末成绩"))))</f>
        <v> </v>
      </c>
      <c r="AW4" s="8" t="str">
        <f ca="1">IF(ISBLANK('3、期末成绩'!AX2)," ",SUM(INDIRECT(ADDRESS(2,COLUMN(AW4)+1,,,"3、期末成绩")):INDIRECT(ADDRESS(($B$1+1),COLUMN(AW4)+1,,,"3、期末成绩"))))</f>
        <v> </v>
      </c>
      <c r="AX4" s="8" t="str">
        <f ca="1">IF(ISBLANK('3、期末成绩'!AY2)," ",SUM(INDIRECT(ADDRESS(2,COLUMN(AX4)+1,,,"3、期末成绩")):INDIRECT(ADDRESS(($B$1+1),COLUMN(AX4)+1,,,"3、期末成绩"))))</f>
        <v> </v>
      </c>
      <c r="AY4" s="8" t="str">
        <f ca="1">IF(ISBLANK('3、期末成绩'!AZ2)," ",SUM(INDIRECT(ADDRESS(2,COLUMN(AY4)+1,,,"3、期末成绩")):INDIRECT(ADDRESS(($B$1+1),COLUMN(AY4)+1,,,"3、期末成绩"))))</f>
        <v> </v>
      </c>
      <c r="AZ4" s="8" t="str">
        <f ca="1">IF(ISBLANK('3、期末成绩'!BA2)," ",SUM(INDIRECT(ADDRESS(2,COLUMN(AZ4)+1,,,"3、期末成绩")):INDIRECT(ADDRESS(($B$1+1),COLUMN(AZ4)+1,,,"3、期末成绩"))))</f>
        <v> </v>
      </c>
      <c r="BA4" s="8" t="str">
        <f ca="1">IF(ISBLANK('3、期末成绩'!BB2)," ",SUM(INDIRECT(ADDRESS(2,COLUMN(BA4)+1,,,"3、期末成绩")):INDIRECT(ADDRESS(($B$1+1),COLUMN(BA4)+1,,,"3、期末成绩"))))</f>
        <v> </v>
      </c>
      <c r="BB4" s="8" t="str">
        <f ca="1">IF(ISBLANK('3、期末成绩'!BC2)," ",SUM(INDIRECT(ADDRESS(2,COLUMN(BB4)+1,,,"3、期末成绩")):INDIRECT(ADDRESS(($B$1+1),COLUMN(BB4)+1,,,"3、期末成绩"))))</f>
        <v> </v>
      </c>
      <c r="BC4" s="8" t="str">
        <f ca="1">IF(ISBLANK('3、期末成绩'!BD2)," ",SUM(INDIRECT(ADDRESS(2,COLUMN(BC4)+1,,,"3、期末成绩")):INDIRECT(ADDRESS(($B$1+1),COLUMN(BC4)+1,,,"3、期末成绩"))))</f>
        <v> </v>
      </c>
      <c r="BD4" s="8" t="str">
        <f ca="1">IF(ISBLANK('3、期末成绩'!BE2)," ",SUM(INDIRECT(ADDRESS(2,COLUMN(BD4)+1,,,"3、期末成绩")):INDIRECT(ADDRESS(($B$1+1),COLUMN(BD4)+1,,,"3、期末成绩"))))</f>
        <v> </v>
      </c>
      <c r="BE4" s="8" t="str">
        <f ca="1">IF(ISBLANK('3、期末成绩'!BF2)," ",SUM(INDIRECT(ADDRESS(2,COLUMN(BE4)+1,,,"3、期末成绩")):INDIRECT(ADDRESS(($B$1+1),COLUMN(BE4)+1,,,"3、期末成绩"))))</f>
        <v> </v>
      </c>
      <c r="BF4" s="8" t="str">
        <f ca="1">IF(ISBLANK('3、期末成绩'!BG2)," ",SUM(INDIRECT(ADDRESS(2,COLUMN(BF4)+1,,,"3、期末成绩")):INDIRECT(ADDRESS(($B$1+1),COLUMN(BF4)+1,,,"3、期末成绩"))))</f>
        <v> </v>
      </c>
      <c r="BG4" s="8" t="str">
        <f ca="1">IF(ISBLANK('3、期末成绩'!BH2)," ",SUM(INDIRECT(ADDRESS(2,COLUMN(BG4)+1,,,"3、期末成绩")):INDIRECT(ADDRESS(($B$1+1),COLUMN(BG4)+1,,,"3、期末成绩"))))</f>
        <v> </v>
      </c>
      <c r="BH4" s="8" t="str">
        <f ca="1">IF(ISBLANK('3、期末成绩'!BI2)," ",SUM(INDIRECT(ADDRESS(2,COLUMN(BH4)+1,,,"3、期末成绩")):INDIRECT(ADDRESS(($B$1+1),COLUMN(BH4)+1,,,"3、期末成绩"))))</f>
        <v> </v>
      </c>
      <c r="BI4" s="8" t="str">
        <f ca="1">IF(ISBLANK('3、期末成绩'!BJ2)," ",SUM(INDIRECT(ADDRESS(2,COLUMN(BI4)+1,,,"3、期末成绩")):INDIRECT(ADDRESS(($B$1+1),COLUMN(BI4)+1,,,"3、期末成绩"))))</f>
        <v> </v>
      </c>
      <c r="BJ4" s="8" t="str">
        <f ca="1">IF(ISBLANK('3、期末成绩'!BK2)," ",SUM(INDIRECT(ADDRESS(2,COLUMN(BJ4)+1,,,"3、期末成绩")):INDIRECT(ADDRESS(($B$1+1),COLUMN(BJ4)+1,,,"3、期末成绩"))))</f>
        <v> </v>
      </c>
      <c r="BK4" s="8" t="str">
        <f ca="1">IF(ISBLANK('3、期末成绩'!BL2)," ",SUM(INDIRECT(ADDRESS(2,COLUMN(BK4)+1,,,"3、期末成绩")):INDIRECT(ADDRESS(($B$1+1),COLUMN(BK4)+1,,,"3、期末成绩"))))</f>
        <v> </v>
      </c>
      <c r="BL4" s="8" t="str">
        <f ca="1">IF(ISBLANK('3、期末成绩'!BM2)," ",SUM(INDIRECT(ADDRESS(2,COLUMN(BL4)+1,,,"3、期末成绩")):INDIRECT(ADDRESS(($B$1+1),COLUMN(BL4)+1,,,"3、期末成绩"))))</f>
        <v> </v>
      </c>
      <c r="BM4" s="8" t="str">
        <f ca="1">IF(ISBLANK('3、期末成绩'!BN2)," ",SUM(INDIRECT(ADDRESS(2,COLUMN(BM4)+1,,,"3、期末成绩")):INDIRECT(ADDRESS(($B$1+1),COLUMN(BM4)+1,,,"3、期末成绩"))))</f>
        <v> </v>
      </c>
      <c r="BN4" s="8" t="str">
        <f ca="1">IF(ISBLANK('3、期末成绩'!BO2)," ",SUM(INDIRECT(ADDRESS(2,COLUMN(BN4)+1,,,"3、期末成绩")):INDIRECT(ADDRESS(($B$1+1),COLUMN(BN4)+1,,,"3、期末成绩"))))</f>
        <v> </v>
      </c>
      <c r="BO4" s="8" t="str">
        <f ca="1">IF(ISBLANK('3、期末成绩'!BP2)," ",SUM(INDIRECT(ADDRESS(2,COLUMN(BO4)+1,,,"3、期末成绩")):INDIRECT(ADDRESS(($B$1+1),COLUMN(BO4)+1,,,"3、期末成绩"))))</f>
        <v> </v>
      </c>
      <c r="BP4" s="8" t="str">
        <f ca="1">IF(ISBLANK('3、期末成绩'!BQ2)," ",SUM(INDIRECT(ADDRESS(2,COLUMN(BP4)+1,,,"3、期末成绩")):INDIRECT(ADDRESS(($B$1+1),COLUMN(BP4)+1,,,"3、期末成绩"))))</f>
        <v> </v>
      </c>
      <c r="BQ4" s="8" t="str">
        <f ca="1">IF(ISBLANK('3、期末成绩'!BR2)," ",SUM(INDIRECT(ADDRESS(2,COLUMN(BQ4)+1,,,"3、期末成绩")):INDIRECT(ADDRESS(($B$1+1),COLUMN(BQ4)+1,,,"3、期末成绩"))))</f>
        <v> </v>
      </c>
      <c r="BR4" s="8" t="str">
        <f ca="1">IF(ISBLANK('3、期末成绩'!BS2)," ",SUM(INDIRECT(ADDRESS(2,COLUMN(BR4)+1,,,"3、期末成绩")):INDIRECT(ADDRESS(($B$1+1),COLUMN(BR4)+1,,,"3、期末成绩"))))</f>
        <v> </v>
      </c>
      <c r="BS4" s="8" t="str">
        <f ca="1">IF(ISBLANK('3、期末成绩'!BT2)," ",SUM(INDIRECT(ADDRESS(2,COLUMN(BS4)+1,,,"3、期末成绩")):INDIRECT(ADDRESS(($B$1+1),COLUMN(BS4)+1,,,"3、期末成绩"))))</f>
        <v> </v>
      </c>
      <c r="BT4" s="8" t="str">
        <f ca="1">IF(ISBLANK('3、期末成绩'!BU2)," ",SUM(INDIRECT(ADDRESS(2,COLUMN(BT4)+1,,,"3、期末成绩")):INDIRECT(ADDRESS(($B$1+1),COLUMN(BT4)+1,,,"3、期末成绩"))))</f>
        <v> </v>
      </c>
      <c r="BU4" s="8" t="str">
        <f ca="1">IF(ISBLANK('3、期末成绩'!BV2)," ",SUM(INDIRECT(ADDRESS(2,COLUMN(BU4)+1,,,"3、期末成绩")):INDIRECT(ADDRESS(($B$1+1),COLUMN(BU4)+1,,,"3、期末成绩"))))</f>
        <v> </v>
      </c>
      <c r="BV4" s="8" t="str">
        <f ca="1">IF(ISBLANK('3、期末成绩'!BW2)," ",SUM(INDIRECT(ADDRESS(2,COLUMN(BV4)+1,,,"3、期末成绩")):INDIRECT(ADDRESS(($B$1+1),COLUMN(BV4)+1,,,"3、期末成绩"))))</f>
        <v> </v>
      </c>
      <c r="BW4" s="8" t="str">
        <f ca="1">IF(ISBLANK('3、期末成绩'!BX2)," ",SUM(INDIRECT(ADDRESS(2,COLUMN(BW4)+1,,,"3、期末成绩")):INDIRECT(ADDRESS(($B$1+1),COLUMN(BW4)+1,,,"3、期末成绩"))))</f>
        <v> </v>
      </c>
      <c r="BX4" s="8" t="str">
        <f ca="1">IF(ISBLANK('3、期末成绩'!BY2)," ",SUM(INDIRECT(ADDRESS(2,COLUMN(BX4)+1,,,"3、期末成绩")):INDIRECT(ADDRESS(($B$1+1),COLUMN(BX4)+1,,,"3、期末成绩"))))</f>
        <v> </v>
      </c>
      <c r="BY4" s="8" t="str">
        <f ca="1">IF(ISBLANK('3、期末成绩'!BZ2)," ",SUM(INDIRECT(ADDRESS(2,COLUMN(BY4)+1,,,"3、期末成绩")):INDIRECT(ADDRESS(($B$1+1),COLUMN(BY4)+1,,,"3、期末成绩"))))</f>
        <v> </v>
      </c>
      <c r="BZ4" s="8" t="str">
        <f ca="1">IF(ISBLANK('3、期末成绩'!CA2)," ",SUM(INDIRECT(ADDRESS(2,COLUMN(BZ4)+1,,,"3、期末成绩")):INDIRECT(ADDRESS(($B$1+1),COLUMN(BZ4)+1,,,"3、期末成绩"))))</f>
        <v> </v>
      </c>
      <c r="CA4" s="8" t="str">
        <f ca="1">IF(ISBLANK('3、期末成绩'!CB2)," ",SUM(INDIRECT(ADDRESS(2,COLUMN(CA4)+1,,,"3、期末成绩")):INDIRECT(ADDRESS(($B$1+1),COLUMN(CA4)+1,,,"3、期末成绩"))))</f>
        <v> </v>
      </c>
      <c r="CB4" s="8" t="str">
        <f ca="1">IF(ISBLANK('3、期末成绩'!CC2)," ",SUM(INDIRECT(ADDRESS(2,COLUMN(CB4)+1,,,"3、期末成绩")):INDIRECT(ADDRESS(($B$1+1),COLUMN(CB4)+1,,,"3、期末成绩"))))</f>
        <v> </v>
      </c>
      <c r="CC4" s="8" t="str">
        <f ca="1">IF(ISBLANK('3、期末成绩'!CD2)," ",SUM(INDIRECT(ADDRESS(2,COLUMN(CC4)+1,,,"3、期末成绩")):INDIRECT(ADDRESS(($B$1+1),COLUMN(CC4)+1,,,"3、期末成绩"))))</f>
        <v> </v>
      </c>
    </row>
    <row r="5" spans="1:81">
      <c r="A5" s="7" t="s">
        <v>790</v>
      </c>
      <c r="B5" s="9">
        <f ca="1">IF(B4=" "," ",B4/$B$1)</f>
        <v>19</v>
      </c>
      <c r="C5" s="9">
        <f ca="1">IF(C4=" "," ",C4/$B$1)</f>
        <v>19</v>
      </c>
      <c r="D5" s="9">
        <f ca="1">IF(D4=" "," ",D4/$B$1)</f>
        <v>19</v>
      </c>
      <c r="E5" s="9">
        <f ca="1" t="shared" ref="E5:AJ5" si="0">IF(E4=" "," ",E4/$B$1)</f>
        <v>19</v>
      </c>
      <c r="F5" s="9">
        <f ca="1" t="shared" si="0"/>
        <v>19</v>
      </c>
      <c r="G5" s="9" t="str">
        <f ca="1" t="shared" si="0"/>
        <v> </v>
      </c>
      <c r="H5" s="9" t="str">
        <f ca="1" t="shared" si="0"/>
        <v> </v>
      </c>
      <c r="I5" s="9" t="str">
        <f ca="1" t="shared" si="0"/>
        <v> </v>
      </c>
      <c r="J5" s="9" t="str">
        <f ca="1" t="shared" si="0"/>
        <v> </v>
      </c>
      <c r="K5" s="9" t="str">
        <f ca="1" t="shared" si="0"/>
        <v> </v>
      </c>
      <c r="L5" s="9" t="str">
        <f ca="1" t="shared" si="0"/>
        <v> </v>
      </c>
      <c r="M5" s="9" t="str">
        <f ca="1" t="shared" si="0"/>
        <v> </v>
      </c>
      <c r="N5" s="9" t="str">
        <f ca="1" t="shared" si="0"/>
        <v> </v>
      </c>
      <c r="O5" s="9" t="str">
        <f ca="1" t="shared" si="0"/>
        <v> </v>
      </c>
      <c r="P5" s="9" t="str">
        <f ca="1" t="shared" si="0"/>
        <v> </v>
      </c>
      <c r="Q5" s="9" t="str">
        <f ca="1" t="shared" si="0"/>
        <v> </v>
      </c>
      <c r="R5" s="9" t="str">
        <f ca="1" t="shared" si="0"/>
        <v> </v>
      </c>
      <c r="S5" s="9" t="str">
        <f ca="1" t="shared" si="0"/>
        <v> </v>
      </c>
      <c r="T5" s="9" t="str">
        <f ca="1" t="shared" si="0"/>
        <v> </v>
      </c>
      <c r="U5" s="9" t="str">
        <f ca="1" t="shared" si="0"/>
        <v> </v>
      </c>
      <c r="V5" s="9" t="str">
        <f ca="1" t="shared" si="0"/>
        <v> </v>
      </c>
      <c r="W5" s="9" t="str">
        <f ca="1" t="shared" si="0"/>
        <v> </v>
      </c>
      <c r="X5" s="9" t="str">
        <f ca="1" t="shared" si="0"/>
        <v> </v>
      </c>
      <c r="Y5" s="9" t="str">
        <f ca="1" t="shared" si="0"/>
        <v> </v>
      </c>
      <c r="Z5" s="9" t="str">
        <f ca="1" t="shared" si="0"/>
        <v> </v>
      </c>
      <c r="AA5" s="9" t="str">
        <f ca="1" t="shared" si="0"/>
        <v> </v>
      </c>
      <c r="AB5" s="9" t="str">
        <f ca="1" t="shared" si="0"/>
        <v> </v>
      </c>
      <c r="AC5" s="9" t="str">
        <f ca="1" t="shared" si="0"/>
        <v> </v>
      </c>
      <c r="AD5" s="9" t="str">
        <f ca="1" t="shared" si="0"/>
        <v> </v>
      </c>
      <c r="AE5" s="9" t="str">
        <f ca="1" t="shared" si="0"/>
        <v> </v>
      </c>
      <c r="AF5" s="9" t="str">
        <f ca="1" t="shared" si="0"/>
        <v> </v>
      </c>
      <c r="AG5" s="9" t="str">
        <f ca="1" t="shared" si="0"/>
        <v> </v>
      </c>
      <c r="AH5" s="9" t="str">
        <f ca="1" t="shared" si="0"/>
        <v> </v>
      </c>
      <c r="AI5" s="9" t="str">
        <f ca="1" t="shared" si="0"/>
        <v> </v>
      </c>
      <c r="AJ5" s="9" t="str">
        <f ca="1" t="shared" si="0"/>
        <v> </v>
      </c>
      <c r="AK5" s="9" t="str">
        <f ca="1" t="shared" ref="AK5:CC5" si="1">IF(AK4=" "," ",AK4/$B$1)</f>
        <v> </v>
      </c>
      <c r="AL5" s="9" t="str">
        <f ca="1" t="shared" si="1"/>
        <v> </v>
      </c>
      <c r="AM5" s="9" t="str">
        <f ca="1" t="shared" si="1"/>
        <v> </v>
      </c>
      <c r="AN5" s="9" t="str">
        <f ca="1" t="shared" si="1"/>
        <v> </v>
      </c>
      <c r="AO5" s="9" t="str">
        <f ca="1" t="shared" si="1"/>
        <v> </v>
      </c>
      <c r="AP5" s="9" t="str">
        <f ca="1" t="shared" si="1"/>
        <v> </v>
      </c>
      <c r="AQ5" s="9" t="str">
        <f ca="1" t="shared" si="1"/>
        <v> </v>
      </c>
      <c r="AR5" s="9" t="str">
        <f ca="1" t="shared" si="1"/>
        <v> </v>
      </c>
      <c r="AS5" s="9" t="str">
        <f ca="1" t="shared" si="1"/>
        <v> </v>
      </c>
      <c r="AT5" s="9" t="str">
        <f ca="1" t="shared" si="1"/>
        <v> </v>
      </c>
      <c r="AU5" s="9" t="str">
        <f ca="1" t="shared" si="1"/>
        <v> </v>
      </c>
      <c r="AV5" s="9" t="str">
        <f ca="1" t="shared" si="1"/>
        <v> </v>
      </c>
      <c r="AW5" s="9" t="str">
        <f ca="1" t="shared" si="1"/>
        <v> </v>
      </c>
      <c r="AX5" s="9" t="str">
        <f ca="1" t="shared" si="1"/>
        <v> </v>
      </c>
      <c r="AY5" s="9" t="str">
        <f ca="1" t="shared" si="1"/>
        <v> </v>
      </c>
      <c r="AZ5" s="9" t="str">
        <f ca="1" t="shared" si="1"/>
        <v> </v>
      </c>
      <c r="BA5" s="9" t="str">
        <f ca="1" t="shared" si="1"/>
        <v> </v>
      </c>
      <c r="BB5" s="9" t="str">
        <f ca="1" t="shared" si="1"/>
        <v> </v>
      </c>
      <c r="BC5" s="9" t="str">
        <f ca="1" t="shared" si="1"/>
        <v> </v>
      </c>
      <c r="BD5" s="9" t="str">
        <f ca="1" t="shared" si="1"/>
        <v> </v>
      </c>
      <c r="BE5" s="9" t="str">
        <f ca="1" t="shared" si="1"/>
        <v> </v>
      </c>
      <c r="BF5" s="9" t="str">
        <f ca="1" t="shared" si="1"/>
        <v> </v>
      </c>
      <c r="BG5" s="9" t="str">
        <f ca="1" t="shared" si="1"/>
        <v> </v>
      </c>
      <c r="BH5" s="9" t="str">
        <f ca="1" t="shared" si="1"/>
        <v> </v>
      </c>
      <c r="BI5" s="9" t="str">
        <f ca="1" t="shared" si="1"/>
        <v> </v>
      </c>
      <c r="BJ5" s="9" t="str">
        <f ca="1" t="shared" si="1"/>
        <v> </v>
      </c>
      <c r="BK5" s="9" t="str">
        <f ca="1" t="shared" si="1"/>
        <v> </v>
      </c>
      <c r="BL5" s="9" t="str">
        <f ca="1" t="shared" si="1"/>
        <v> </v>
      </c>
      <c r="BM5" s="9" t="str">
        <f ca="1" t="shared" si="1"/>
        <v> </v>
      </c>
      <c r="BN5" s="9" t="str">
        <f ca="1" t="shared" si="1"/>
        <v> </v>
      </c>
      <c r="BO5" s="9" t="str">
        <f ca="1" t="shared" si="1"/>
        <v> </v>
      </c>
      <c r="BP5" s="9" t="str">
        <f ca="1" t="shared" si="1"/>
        <v> </v>
      </c>
      <c r="BQ5" s="9" t="str">
        <f ca="1" t="shared" si="1"/>
        <v> </v>
      </c>
      <c r="BR5" s="9" t="str">
        <f ca="1" t="shared" si="1"/>
        <v> </v>
      </c>
      <c r="BS5" s="9" t="str">
        <f ca="1" t="shared" si="1"/>
        <v> </v>
      </c>
      <c r="BT5" s="9" t="str">
        <f ca="1" t="shared" si="1"/>
        <v> </v>
      </c>
      <c r="BU5" s="9" t="str">
        <f ca="1" t="shared" si="1"/>
        <v> </v>
      </c>
      <c r="BV5" s="9" t="str">
        <f ca="1" t="shared" si="1"/>
        <v> </v>
      </c>
      <c r="BW5" s="9" t="str">
        <f ca="1" t="shared" si="1"/>
        <v> </v>
      </c>
      <c r="BX5" s="9" t="str">
        <f ca="1" t="shared" si="1"/>
        <v> </v>
      </c>
      <c r="BY5" s="9" t="str">
        <f ca="1" t="shared" si="1"/>
        <v> </v>
      </c>
      <c r="BZ5" s="9" t="str">
        <f ca="1" t="shared" si="1"/>
        <v> </v>
      </c>
      <c r="CA5" s="9" t="str">
        <f ca="1" t="shared" si="1"/>
        <v> </v>
      </c>
      <c r="CB5" s="9" t="str">
        <f ca="1" t="shared" si="1"/>
        <v> </v>
      </c>
      <c r="CC5" s="9" t="str">
        <f ca="1" t="shared" si="1"/>
        <v> </v>
      </c>
    </row>
    <row r="6" spans="1:81">
      <c r="A6" s="7" t="s">
        <v>791</v>
      </c>
      <c r="B6" s="5" t="str">
        <f>IF(ISBLANK(VLOOKUP(期末试卷分析表!B3,'2、试卷（期末题目-课程目标）'!$A$1:$C$81,2,FALSE))," ",VLOOKUP(期末试卷分析表!B3,'2、试卷（期末题目-课程目标）'!$A$1:$C$81,2,FALSE))</f>
        <v>2</v>
      </c>
      <c r="C6" s="5" t="str">
        <f>IF(ISBLANK(VLOOKUP(期末试卷分析表!C3,'2、试卷（期末题目-课程目标）'!$A$1:$C$81,2,FALSE))," ",VLOOKUP(期末试卷分析表!C3,'2、试卷（期末题目-课程目标）'!$A$1:$C$81,2,FALSE))</f>
        <v>2</v>
      </c>
      <c r="D6" s="5" t="str">
        <f>IF(ISBLANK(VLOOKUP(期末试卷分析表!D3,'2、试卷（期末题目-课程目标）'!$A$1:$C$81,2,FALSE))," ",VLOOKUP(期末试卷分析表!D3,'2、试卷（期末题目-课程目标）'!$A$1:$C$81,2,FALSE))</f>
        <v>3</v>
      </c>
      <c r="E6" s="5" t="str">
        <f>IF(ISBLANK(VLOOKUP(期末试卷分析表!E3,'2、试卷（期末题目-课程目标）'!$A$1:$C$81,2,FALSE))," ",VLOOKUP(期末试卷分析表!E3,'2、试卷（期末题目-课程目标）'!$A$1:$C$81,2,FALSE))</f>
        <v>3</v>
      </c>
      <c r="F6" s="5" t="str">
        <f>IF(ISBLANK(VLOOKUP(期末试卷分析表!F3,'2、试卷（期末题目-课程目标）'!$A$1:$C$81,2,FALSE))," ",VLOOKUP(期末试卷分析表!F3,'2、试卷（期末题目-课程目标）'!$A$1:$C$81,2,FALSE))</f>
        <v>5</v>
      </c>
      <c r="G6" s="5" t="str">
        <f>IF(ISBLANK(VLOOKUP(期末试卷分析表!G3,'2、试卷（期末题目-课程目标）'!$A$1:$C$81,2,FALSE))," ",VLOOKUP(期末试卷分析表!G3,'2、试卷（期末题目-课程目标）'!$A$1:$C$81,2,FALSE))</f>
        <v> </v>
      </c>
      <c r="H6" s="5" t="str">
        <f>IF(ISBLANK(VLOOKUP(期末试卷分析表!H3,'2、试卷（期末题目-课程目标）'!$A$1:$C$81,2,FALSE))," ",VLOOKUP(期末试卷分析表!H3,'2、试卷（期末题目-课程目标）'!$A$1:$C$81,2,FALSE))</f>
        <v> </v>
      </c>
      <c r="I6" s="5" t="str">
        <f>IF(ISBLANK(VLOOKUP(期末试卷分析表!I3,'2、试卷（期末题目-课程目标）'!$A$1:$C$81,2,FALSE))," ",VLOOKUP(期末试卷分析表!I3,'2、试卷（期末题目-课程目标）'!$A$1:$C$81,2,FALSE))</f>
        <v> </v>
      </c>
      <c r="J6" s="5" t="str">
        <f>IF(ISBLANK(VLOOKUP(期末试卷分析表!J3,'2、试卷（期末题目-课程目标）'!$A$1:$C$81,2,FALSE))," ",VLOOKUP(期末试卷分析表!J3,'2、试卷（期末题目-课程目标）'!$A$1:$C$81,2,FALSE))</f>
        <v> </v>
      </c>
      <c r="K6" s="5" t="str">
        <f>IF(ISBLANK(VLOOKUP(期末试卷分析表!K3,'2、试卷（期末题目-课程目标）'!$A$1:$C$81,2,FALSE))," ",VLOOKUP(期末试卷分析表!K3,'2、试卷（期末题目-课程目标）'!$A$1:$C$81,2,FALSE))</f>
        <v> </v>
      </c>
      <c r="L6" s="5" t="str">
        <f>IF(ISBLANK(VLOOKUP(期末试卷分析表!L3,'2、试卷（期末题目-课程目标）'!$A$1:$C$81,2,FALSE))," ",VLOOKUP(期末试卷分析表!L3,'2、试卷（期末题目-课程目标）'!$A$1:$C$81,2,FALSE))</f>
        <v> </v>
      </c>
      <c r="M6" s="5" t="str">
        <f>IF(ISBLANK(VLOOKUP(期末试卷分析表!M3,'2、试卷（期末题目-课程目标）'!$A$1:$C$81,2,FALSE))," ",VLOOKUP(期末试卷分析表!M3,'2、试卷（期末题目-课程目标）'!$A$1:$C$81,2,FALSE))</f>
        <v> </v>
      </c>
      <c r="N6" s="5" t="str">
        <f>IF(ISBLANK(VLOOKUP(期末试卷分析表!N3,'2、试卷（期末题目-课程目标）'!$A$1:$C$81,2,FALSE))," ",VLOOKUP(期末试卷分析表!N3,'2、试卷（期末题目-课程目标）'!$A$1:$C$81,2,FALSE))</f>
        <v> </v>
      </c>
      <c r="O6" s="5" t="str">
        <f>IF(ISBLANK(VLOOKUP(期末试卷分析表!O3,'2、试卷（期末题目-课程目标）'!$A$1:$C$81,2,FALSE))," ",VLOOKUP(期末试卷分析表!O3,'2、试卷（期末题目-课程目标）'!$A$1:$C$81,2,FALSE))</f>
        <v> </v>
      </c>
      <c r="P6" s="5" t="str">
        <f>IF(ISBLANK(VLOOKUP(期末试卷分析表!P3,'2、试卷（期末题目-课程目标）'!$A$1:$C$81,2,FALSE))," ",VLOOKUP(期末试卷分析表!P3,'2、试卷（期末题目-课程目标）'!$A$1:$C$81,2,FALSE))</f>
        <v> </v>
      </c>
      <c r="Q6" s="5" t="str">
        <f>IF(ISBLANK(VLOOKUP(期末试卷分析表!Q3,'2、试卷（期末题目-课程目标）'!$A$1:$C$81,2,FALSE))," ",VLOOKUP(期末试卷分析表!Q3,'2、试卷（期末题目-课程目标）'!$A$1:$C$81,2,FALSE))</f>
        <v> </v>
      </c>
      <c r="R6" s="5" t="str">
        <f>IF(ISBLANK(VLOOKUP(期末试卷分析表!R3,'2、试卷（期末题目-课程目标）'!$A$1:$C$81,2,FALSE))," ",VLOOKUP(期末试卷分析表!R3,'2、试卷（期末题目-课程目标）'!$A$1:$C$81,2,FALSE))</f>
        <v> </v>
      </c>
      <c r="S6" s="5" t="str">
        <f>IF(ISBLANK(VLOOKUP(期末试卷分析表!S3,'2、试卷（期末题目-课程目标）'!$A$1:$C$81,2,FALSE))," ",VLOOKUP(期末试卷分析表!S3,'2、试卷（期末题目-课程目标）'!$A$1:$C$81,2,FALSE))</f>
        <v> </v>
      </c>
      <c r="T6" s="5" t="str">
        <f>IF(ISBLANK(VLOOKUP(期末试卷分析表!T3,'2、试卷（期末题目-课程目标）'!$A$1:$C$81,2,FALSE))," ",VLOOKUP(期末试卷分析表!T3,'2、试卷（期末题目-课程目标）'!$A$1:$C$81,2,FALSE))</f>
        <v> </v>
      </c>
      <c r="U6" s="5" t="str">
        <f>IF(ISBLANK(VLOOKUP(期末试卷分析表!U3,'2、试卷（期末题目-课程目标）'!$A$1:$C$81,2,FALSE))," ",VLOOKUP(期末试卷分析表!U3,'2、试卷（期末题目-课程目标）'!$A$1:$C$81,2,FALSE))</f>
        <v> </v>
      </c>
      <c r="V6" s="5" t="str">
        <f>IF(ISBLANK(VLOOKUP(期末试卷分析表!V3,'2、试卷（期末题目-课程目标）'!$A$1:$C$81,2,FALSE))," ",VLOOKUP(期末试卷分析表!V3,'2、试卷（期末题目-课程目标）'!$A$1:$C$81,2,FALSE))</f>
        <v> </v>
      </c>
      <c r="W6" s="5" t="str">
        <f>IF(ISBLANK(VLOOKUP(期末试卷分析表!W3,'2、试卷（期末题目-课程目标）'!$A$1:$C$81,2,FALSE))," ",VLOOKUP(期末试卷分析表!W3,'2、试卷（期末题目-课程目标）'!$A$1:$C$81,2,FALSE))</f>
        <v> </v>
      </c>
      <c r="X6" s="5" t="str">
        <f>IF(ISBLANK(VLOOKUP(期末试卷分析表!X3,'2、试卷（期末题目-课程目标）'!$A$1:$C$81,2,FALSE))," ",VLOOKUP(期末试卷分析表!X3,'2、试卷（期末题目-课程目标）'!$A$1:$C$81,2,FALSE))</f>
        <v> </v>
      </c>
      <c r="Y6" s="5" t="str">
        <f>IF(ISBLANK(VLOOKUP(期末试卷分析表!Y3,'2、试卷（期末题目-课程目标）'!$A$1:$C$81,2,FALSE))," ",VLOOKUP(期末试卷分析表!Y3,'2、试卷（期末题目-课程目标）'!$A$1:$C$81,2,FALSE))</f>
        <v> </v>
      </c>
      <c r="Z6" s="5" t="str">
        <f>IF(ISBLANK(VLOOKUP(期末试卷分析表!Z3,'2、试卷（期末题目-课程目标）'!$A$1:$C$81,2,FALSE))," ",VLOOKUP(期末试卷分析表!Z3,'2、试卷（期末题目-课程目标）'!$A$1:$C$81,2,FALSE))</f>
        <v> </v>
      </c>
      <c r="AA6" s="5" t="str">
        <f>IF(ISBLANK(VLOOKUP(期末试卷分析表!AA3,'2、试卷（期末题目-课程目标）'!$A$1:$C$81,2,FALSE))," ",VLOOKUP(期末试卷分析表!AA3,'2、试卷（期末题目-课程目标）'!$A$1:$C$81,2,FALSE))</f>
        <v> </v>
      </c>
      <c r="AB6" s="5" t="str">
        <f>IF(ISBLANK(VLOOKUP(期末试卷分析表!AB3,'2、试卷（期末题目-课程目标）'!$A$1:$C$81,2,FALSE))," ",VLOOKUP(期末试卷分析表!AB3,'2、试卷（期末题目-课程目标）'!$A$1:$C$81,2,FALSE))</f>
        <v> </v>
      </c>
      <c r="AC6" s="5" t="str">
        <f>IF(ISBLANK(VLOOKUP(期末试卷分析表!AC3,'2、试卷（期末题目-课程目标）'!$A$1:$C$81,2,FALSE))," ",VLOOKUP(期末试卷分析表!AC3,'2、试卷（期末题目-课程目标）'!$A$1:$C$81,2,FALSE))</f>
        <v> </v>
      </c>
      <c r="AD6" s="5" t="str">
        <f>IF(ISBLANK(VLOOKUP(期末试卷分析表!AD3,'2、试卷（期末题目-课程目标）'!$A$1:$C$81,2,FALSE))," ",VLOOKUP(期末试卷分析表!AD3,'2、试卷（期末题目-课程目标）'!$A$1:$C$81,2,FALSE))</f>
        <v> </v>
      </c>
      <c r="AE6" s="5" t="str">
        <f>IF(ISBLANK(VLOOKUP(期末试卷分析表!AE3,'2、试卷（期末题目-课程目标）'!$A$1:$C$81,2,FALSE))," ",VLOOKUP(期末试卷分析表!AE3,'2、试卷（期末题目-课程目标）'!$A$1:$C$81,2,FALSE))</f>
        <v> </v>
      </c>
      <c r="AF6" s="5" t="str">
        <f>IF(ISBLANK(VLOOKUP(期末试卷分析表!AF3,'2、试卷（期末题目-课程目标）'!$A$1:$C$81,2,FALSE))," ",VLOOKUP(期末试卷分析表!AF3,'2、试卷（期末题目-课程目标）'!$A$1:$C$81,2,FALSE))</f>
        <v> </v>
      </c>
      <c r="AG6" s="5" t="str">
        <f>IF(ISBLANK(VLOOKUP(期末试卷分析表!AG3,'2、试卷（期末题目-课程目标）'!$A$1:$C$81,2,FALSE))," ",VLOOKUP(期末试卷分析表!AG3,'2、试卷（期末题目-课程目标）'!$A$1:$C$81,2,FALSE))</f>
        <v> </v>
      </c>
      <c r="AH6" s="5" t="str">
        <f>IF(ISBLANK(VLOOKUP(期末试卷分析表!AH3,'2、试卷（期末题目-课程目标）'!$A$1:$C$81,2,FALSE))," ",VLOOKUP(期末试卷分析表!AH3,'2、试卷（期末题目-课程目标）'!$A$1:$C$81,2,FALSE))</f>
        <v> </v>
      </c>
      <c r="AI6" s="5" t="str">
        <f>IF(ISBLANK(VLOOKUP(期末试卷分析表!AI3,'2、试卷（期末题目-课程目标）'!$A$1:$C$81,2,FALSE))," ",VLOOKUP(期末试卷分析表!AI3,'2、试卷（期末题目-课程目标）'!$A$1:$C$81,2,FALSE))</f>
        <v> </v>
      </c>
      <c r="AJ6" s="5" t="str">
        <f>IF(ISBLANK(VLOOKUP(期末试卷分析表!AJ3,'2、试卷（期末题目-课程目标）'!$A$1:$C$81,2,FALSE))," ",VLOOKUP(期末试卷分析表!AJ3,'2、试卷（期末题目-课程目标）'!$A$1:$C$81,2,FALSE))</f>
        <v> </v>
      </c>
      <c r="AK6" s="5" t="str">
        <f>IF(ISBLANK(VLOOKUP(期末试卷分析表!AK3,'2、试卷（期末题目-课程目标）'!$A$1:$C$81,2,FALSE))," ",VLOOKUP(期末试卷分析表!AK3,'2、试卷（期末题目-课程目标）'!$A$1:$C$81,2,FALSE))</f>
        <v> </v>
      </c>
      <c r="AL6" s="5" t="str">
        <f>IF(ISBLANK(VLOOKUP(期末试卷分析表!AL3,'2、试卷（期末题目-课程目标）'!$A$1:$C$81,2,FALSE))," ",VLOOKUP(期末试卷分析表!AL3,'2、试卷（期末题目-课程目标）'!$A$1:$C$81,2,FALSE))</f>
        <v> </v>
      </c>
      <c r="AM6" s="5" t="str">
        <f>IF(ISBLANK(VLOOKUP(期末试卷分析表!AM3,'2、试卷（期末题目-课程目标）'!$A$1:$C$81,2,FALSE))," ",VLOOKUP(期末试卷分析表!AM3,'2、试卷（期末题目-课程目标）'!$A$1:$C$81,2,FALSE))</f>
        <v> </v>
      </c>
      <c r="AN6" s="5" t="str">
        <f>IF(ISBLANK(VLOOKUP(期末试卷分析表!AN3,'2、试卷（期末题目-课程目标）'!$A$1:$C$81,2,FALSE))," ",VLOOKUP(期末试卷分析表!AN3,'2、试卷（期末题目-课程目标）'!$A$1:$C$81,2,FALSE))</f>
        <v> </v>
      </c>
      <c r="AO6" s="5" t="str">
        <f>IF(ISBLANK(VLOOKUP(期末试卷分析表!AO3,'2、试卷（期末题目-课程目标）'!$A$1:$C$81,2,FALSE))," ",VLOOKUP(期末试卷分析表!AO3,'2、试卷（期末题目-课程目标）'!$A$1:$C$81,2,FALSE))</f>
        <v> </v>
      </c>
      <c r="AP6" s="5" t="str">
        <f>IF(ISBLANK(VLOOKUP(期末试卷分析表!AP3,'2、试卷（期末题目-课程目标）'!$A$1:$C$81,2,FALSE))," ",VLOOKUP(期末试卷分析表!AP3,'2、试卷（期末题目-课程目标）'!$A$1:$C$81,2,FALSE))</f>
        <v> </v>
      </c>
      <c r="AQ6" s="5" t="str">
        <f>IF(ISBLANK(VLOOKUP(期末试卷分析表!AQ3,'2、试卷（期末题目-课程目标）'!$A$1:$C$81,2,FALSE))," ",VLOOKUP(期末试卷分析表!AQ3,'2、试卷（期末题目-课程目标）'!$A$1:$C$81,2,FALSE))</f>
        <v> </v>
      </c>
      <c r="AR6" s="5" t="str">
        <f>IF(ISBLANK(VLOOKUP(期末试卷分析表!AR3,'2、试卷（期末题目-课程目标）'!$A$1:$C$81,2,FALSE))," ",VLOOKUP(期末试卷分析表!AR3,'2、试卷（期末题目-课程目标）'!$A$1:$C$81,2,FALSE))</f>
        <v> </v>
      </c>
      <c r="AS6" s="5" t="str">
        <f>IF(ISBLANK(VLOOKUP(期末试卷分析表!AS3,'2、试卷（期末题目-课程目标）'!$A$1:$C$81,2,FALSE))," ",VLOOKUP(期末试卷分析表!AS3,'2、试卷（期末题目-课程目标）'!$A$1:$C$81,2,FALSE))</f>
        <v> </v>
      </c>
      <c r="AT6" s="5" t="str">
        <f>IF(ISBLANK(VLOOKUP(期末试卷分析表!AT3,'2、试卷（期末题目-课程目标）'!$A$1:$C$81,2,FALSE))," ",VLOOKUP(期末试卷分析表!AT3,'2、试卷（期末题目-课程目标）'!$A$1:$C$81,2,FALSE))</f>
        <v> </v>
      </c>
      <c r="AU6" s="5" t="str">
        <f>IF(ISBLANK(VLOOKUP(期末试卷分析表!AU3,'2、试卷（期末题目-课程目标）'!$A$1:$C$81,2,FALSE))," ",VLOOKUP(期末试卷分析表!AU3,'2、试卷（期末题目-课程目标）'!$A$1:$C$81,2,FALSE))</f>
        <v> </v>
      </c>
      <c r="AV6" s="5" t="str">
        <f>IF(ISBLANK(VLOOKUP(期末试卷分析表!AV3,'2、试卷（期末题目-课程目标）'!$A$1:$C$81,2,FALSE))," ",VLOOKUP(期末试卷分析表!AV3,'2、试卷（期末题目-课程目标）'!$A$1:$C$81,2,FALSE))</f>
        <v> </v>
      </c>
      <c r="AW6" s="5" t="str">
        <f>IF(ISBLANK(VLOOKUP(期末试卷分析表!AW3,'2、试卷（期末题目-课程目标）'!$A$1:$C$81,2,FALSE))," ",VLOOKUP(期末试卷分析表!AW3,'2、试卷（期末题目-课程目标）'!$A$1:$C$81,2,FALSE))</f>
        <v> </v>
      </c>
      <c r="AX6" s="5" t="str">
        <f>IF(ISBLANK(VLOOKUP(期末试卷分析表!AX3,'2、试卷（期末题目-课程目标）'!$A$1:$C$81,2,FALSE))," ",VLOOKUP(期末试卷分析表!AX3,'2、试卷（期末题目-课程目标）'!$A$1:$C$81,2,FALSE))</f>
        <v> </v>
      </c>
      <c r="AY6" s="5" t="str">
        <f>IF(ISBLANK(VLOOKUP(期末试卷分析表!AY3,'2、试卷（期末题目-课程目标）'!$A$1:$C$81,2,FALSE))," ",VLOOKUP(期末试卷分析表!AY3,'2、试卷（期末题目-课程目标）'!$A$1:$C$81,2,FALSE))</f>
        <v> </v>
      </c>
      <c r="AZ6" s="5" t="str">
        <f>IF(ISBLANK(VLOOKUP(期末试卷分析表!AZ3,'2、试卷（期末题目-课程目标）'!$A$1:$C$81,2,FALSE))," ",VLOOKUP(期末试卷分析表!AZ3,'2、试卷（期末题目-课程目标）'!$A$1:$C$81,2,FALSE))</f>
        <v> </v>
      </c>
      <c r="BA6" s="5" t="str">
        <f>IF(ISBLANK(VLOOKUP(期末试卷分析表!BA3,'2、试卷（期末题目-课程目标）'!$A$1:$C$81,2,FALSE))," ",VLOOKUP(期末试卷分析表!BA3,'2、试卷（期末题目-课程目标）'!$A$1:$C$81,2,FALSE))</f>
        <v> </v>
      </c>
      <c r="BB6" s="5" t="str">
        <f>IF(ISBLANK(VLOOKUP(期末试卷分析表!BB3,'2、试卷（期末题目-课程目标）'!$A$1:$C$81,2,FALSE))," ",VLOOKUP(期末试卷分析表!BB3,'2、试卷（期末题目-课程目标）'!$A$1:$C$81,2,FALSE))</f>
        <v> </v>
      </c>
      <c r="BC6" s="5" t="str">
        <f>IF(ISBLANK(VLOOKUP(期末试卷分析表!BC3,'2、试卷（期末题目-课程目标）'!$A$1:$C$81,2,FALSE))," ",VLOOKUP(期末试卷分析表!BC3,'2、试卷（期末题目-课程目标）'!$A$1:$C$81,2,FALSE))</f>
        <v> </v>
      </c>
      <c r="BD6" s="5" t="str">
        <f>IF(ISBLANK(VLOOKUP(期末试卷分析表!BD3,'2、试卷（期末题目-课程目标）'!$A$1:$C$81,2,FALSE))," ",VLOOKUP(期末试卷分析表!BD3,'2、试卷（期末题目-课程目标）'!$A$1:$C$81,2,FALSE))</f>
        <v> </v>
      </c>
      <c r="BE6" s="5" t="str">
        <f>IF(ISBLANK(VLOOKUP(期末试卷分析表!BE3,'2、试卷（期末题目-课程目标）'!$A$1:$C$81,2,FALSE))," ",VLOOKUP(期末试卷分析表!BE3,'2、试卷（期末题目-课程目标）'!$A$1:$C$81,2,FALSE))</f>
        <v> </v>
      </c>
      <c r="BF6" s="5" t="str">
        <f>IF(ISBLANK(VLOOKUP(期末试卷分析表!BF3,'2、试卷（期末题目-课程目标）'!$A$1:$C$81,2,FALSE))," ",VLOOKUP(期末试卷分析表!BF3,'2、试卷（期末题目-课程目标）'!$A$1:$C$81,2,FALSE))</f>
        <v> </v>
      </c>
      <c r="BG6" s="5" t="str">
        <f>IF(ISBLANK(VLOOKUP(期末试卷分析表!BG3,'2、试卷（期末题目-课程目标）'!$A$1:$C$81,2,FALSE))," ",VLOOKUP(期末试卷分析表!BG3,'2、试卷（期末题目-课程目标）'!$A$1:$C$81,2,FALSE))</f>
        <v> </v>
      </c>
      <c r="BH6" s="5" t="str">
        <f>IF(ISBLANK(VLOOKUP(期末试卷分析表!BH3,'2、试卷（期末题目-课程目标）'!$A$1:$C$81,2,FALSE))," ",VLOOKUP(期末试卷分析表!BH3,'2、试卷（期末题目-课程目标）'!$A$1:$C$81,2,FALSE))</f>
        <v> </v>
      </c>
      <c r="BI6" s="5" t="str">
        <f>IF(ISBLANK(VLOOKUP(期末试卷分析表!BI3,'2、试卷（期末题目-课程目标）'!$A$1:$C$81,2,FALSE))," ",VLOOKUP(期末试卷分析表!BI3,'2、试卷（期末题目-课程目标）'!$A$1:$C$81,2,FALSE))</f>
        <v> </v>
      </c>
      <c r="BJ6" s="5" t="str">
        <f>IF(ISBLANK(VLOOKUP(期末试卷分析表!BJ3,'2、试卷（期末题目-课程目标）'!$A$1:$C$81,2,FALSE))," ",VLOOKUP(期末试卷分析表!BJ3,'2、试卷（期末题目-课程目标）'!$A$1:$C$81,2,FALSE))</f>
        <v> </v>
      </c>
      <c r="BK6" s="5" t="str">
        <f>IF(ISBLANK(VLOOKUP(期末试卷分析表!BK3,'2、试卷（期末题目-课程目标）'!$A$1:$C$81,2,FALSE))," ",VLOOKUP(期末试卷分析表!BK3,'2、试卷（期末题目-课程目标）'!$A$1:$C$81,2,FALSE))</f>
        <v> </v>
      </c>
      <c r="BL6" s="5" t="str">
        <f>IF(ISBLANK(VLOOKUP(期末试卷分析表!BL3,'2、试卷（期末题目-课程目标）'!$A$1:$C$81,2,FALSE))," ",VLOOKUP(期末试卷分析表!BL3,'2、试卷（期末题目-课程目标）'!$A$1:$C$81,2,FALSE))</f>
        <v> </v>
      </c>
      <c r="BM6" s="5" t="str">
        <f>IF(ISBLANK(VLOOKUP(期末试卷分析表!BM3,'2、试卷（期末题目-课程目标）'!$A$1:$C$81,2,FALSE))," ",VLOOKUP(期末试卷分析表!BM3,'2、试卷（期末题目-课程目标）'!$A$1:$C$81,2,FALSE))</f>
        <v> </v>
      </c>
      <c r="BN6" s="5" t="str">
        <f>IF(ISBLANK(VLOOKUP(期末试卷分析表!BN3,'2、试卷（期末题目-课程目标）'!$A$1:$C$81,2,FALSE))," ",VLOOKUP(期末试卷分析表!BN3,'2、试卷（期末题目-课程目标）'!$A$1:$C$81,2,FALSE))</f>
        <v> </v>
      </c>
      <c r="BO6" s="5" t="str">
        <f>IF(ISBLANK(VLOOKUP(期末试卷分析表!BO3,'2、试卷（期末题目-课程目标）'!$A$1:$C$81,2,FALSE))," ",VLOOKUP(期末试卷分析表!BO3,'2、试卷（期末题目-课程目标）'!$A$1:$C$81,2,FALSE))</f>
        <v> </v>
      </c>
      <c r="BP6" s="5" t="str">
        <f>IF(ISBLANK(VLOOKUP(期末试卷分析表!BP3,'2、试卷（期末题目-课程目标）'!$A$1:$C$81,2,FALSE))," ",VLOOKUP(期末试卷分析表!BP3,'2、试卷（期末题目-课程目标）'!$A$1:$C$81,2,FALSE))</f>
        <v> </v>
      </c>
      <c r="BQ6" s="5" t="str">
        <f>IF(ISBLANK(VLOOKUP(期末试卷分析表!BQ3,'2、试卷（期末题目-课程目标）'!$A$1:$C$81,2,FALSE))," ",VLOOKUP(期末试卷分析表!BQ3,'2、试卷（期末题目-课程目标）'!$A$1:$C$81,2,FALSE))</f>
        <v> </v>
      </c>
      <c r="BR6" s="5" t="str">
        <f>IF(ISBLANK(VLOOKUP(期末试卷分析表!BR3,'2、试卷（期末题目-课程目标）'!$A$1:$C$81,2,FALSE))," ",VLOOKUP(期末试卷分析表!BR3,'2、试卷（期末题目-课程目标）'!$A$1:$C$81,2,FALSE))</f>
        <v> </v>
      </c>
      <c r="BS6" s="5" t="str">
        <f>IF(ISBLANK(VLOOKUP(期末试卷分析表!BS3,'2、试卷（期末题目-课程目标）'!$A$1:$C$81,2,FALSE))," ",VLOOKUP(期末试卷分析表!BS3,'2、试卷（期末题目-课程目标）'!$A$1:$C$81,2,FALSE))</f>
        <v> </v>
      </c>
      <c r="BT6" s="5" t="str">
        <f>IF(ISBLANK(VLOOKUP(期末试卷分析表!BT3,'2、试卷（期末题目-课程目标）'!$A$1:$C$81,2,FALSE))," ",VLOOKUP(期末试卷分析表!BT3,'2、试卷（期末题目-课程目标）'!$A$1:$C$81,2,FALSE))</f>
        <v> </v>
      </c>
      <c r="BU6" s="5" t="str">
        <f>IF(ISBLANK(VLOOKUP(期末试卷分析表!BU3,'2、试卷（期末题目-课程目标）'!$A$1:$C$81,2,FALSE))," ",VLOOKUP(期末试卷分析表!BU3,'2、试卷（期末题目-课程目标）'!$A$1:$C$81,2,FALSE))</f>
        <v> </v>
      </c>
      <c r="BV6" s="5" t="str">
        <f>IF(ISBLANK(VLOOKUP(期末试卷分析表!BV3,'2、试卷（期末题目-课程目标）'!$A$1:$C$81,2,FALSE))," ",VLOOKUP(期末试卷分析表!BV3,'2、试卷（期末题目-课程目标）'!$A$1:$C$81,2,FALSE))</f>
        <v> </v>
      </c>
      <c r="BW6" s="5" t="str">
        <f>IF(ISBLANK(VLOOKUP(期末试卷分析表!BW3,'2、试卷（期末题目-课程目标）'!$A$1:$C$81,2,FALSE))," ",VLOOKUP(期末试卷分析表!BW3,'2、试卷（期末题目-课程目标）'!$A$1:$C$81,2,FALSE))</f>
        <v> </v>
      </c>
      <c r="BX6" s="5" t="str">
        <f>IF(ISBLANK(VLOOKUP(期末试卷分析表!BX3,'2、试卷（期末题目-课程目标）'!$A$1:$C$81,2,FALSE))," ",VLOOKUP(期末试卷分析表!BX3,'2、试卷（期末题目-课程目标）'!$A$1:$C$81,2,FALSE))</f>
        <v> </v>
      </c>
      <c r="BY6" s="5" t="str">
        <f>IF(ISBLANK(VLOOKUP(期末试卷分析表!BY3,'2、试卷（期末题目-课程目标）'!$A$1:$C$81,2,FALSE))," ",VLOOKUP(期末试卷分析表!BY3,'2、试卷（期末题目-课程目标）'!$A$1:$C$81,2,FALSE))</f>
        <v> </v>
      </c>
      <c r="BZ6" s="5" t="str">
        <f>IF(ISBLANK(VLOOKUP(期末试卷分析表!BZ3,'2、试卷（期末题目-课程目标）'!$A$1:$C$81,2,FALSE))," ",VLOOKUP(期末试卷分析表!BZ3,'2、试卷（期末题目-课程目标）'!$A$1:$C$81,2,FALSE))</f>
        <v> </v>
      </c>
      <c r="CA6" s="5" t="str">
        <f>IF(ISBLANK(VLOOKUP(期末试卷分析表!CA3,'2、试卷（期末题目-课程目标）'!$A$1:$C$81,2,FALSE))," ",VLOOKUP(期末试卷分析表!CA3,'2、试卷（期末题目-课程目标）'!$A$1:$C$81,2,FALSE))</f>
        <v> </v>
      </c>
      <c r="CB6" s="5" t="str">
        <f>IF(ISBLANK(VLOOKUP(期末试卷分析表!CB3,'2、试卷（期末题目-课程目标）'!$A$1:$C$81,2,FALSE))," ",VLOOKUP(期末试卷分析表!CB3,'2、试卷（期末题目-课程目标）'!$A$1:$C$81,2,FALSE))</f>
        <v> </v>
      </c>
      <c r="CC6" s="5" t="str">
        <f>IF(ISBLANK(VLOOKUP(期末试卷分析表!CC3,'2、试卷（期末题目-课程目标）'!$A$1:$C$81,2,FALSE))," ",VLOOKUP(期末试卷分析表!CC3,'2、试卷（期末题目-课程目标）'!$A$1:$C$81,2,FALSE))</f>
        <v> </v>
      </c>
    </row>
    <row r="7" spans="1:81">
      <c r="A7" s="7" t="s">
        <v>72</v>
      </c>
      <c r="B7" s="5">
        <f>IF(ISBLANK(VLOOKUP(期末试卷分析表!B3,'2、试卷（期末题目-课程目标）'!$A$1:$C$81,3,FALSE))," ",VLOOKUP(期末试卷分析表!B3,'2、试卷（期末题目-课程目标）'!$A$1:$C$81,3,FALSE))</f>
        <v>20</v>
      </c>
      <c r="C7" s="5">
        <f>IF(ISBLANK(VLOOKUP(期末试卷分析表!C3,'2、试卷（期末题目-课程目标）'!$A$1:$C$81,3,FALSE))," ",VLOOKUP(期末试卷分析表!C3,'2、试卷（期末题目-课程目标）'!$A$1:$C$81,3,FALSE))</f>
        <v>20</v>
      </c>
      <c r="D7" s="5">
        <f>IF(ISBLANK(VLOOKUP(期末试卷分析表!D3,'2、试卷（期末题目-课程目标）'!$A$1:$C$81,3,FALSE))," ",VLOOKUP(期末试卷分析表!D3,'2、试卷（期末题目-课程目标）'!$A$1:$C$81,3,FALSE))</f>
        <v>20</v>
      </c>
      <c r="E7" s="5">
        <f>IF(ISBLANK(VLOOKUP(期末试卷分析表!E3,'2、试卷（期末题目-课程目标）'!$A$1:$C$81,3,FALSE))," ",VLOOKUP(期末试卷分析表!E3,'2、试卷（期末题目-课程目标）'!$A$1:$C$81,3,FALSE))</f>
        <v>20</v>
      </c>
      <c r="F7" s="5">
        <f>IF(ISBLANK(VLOOKUP(期末试卷分析表!F3,'2、试卷（期末题目-课程目标）'!$A$1:$C$81,3,FALSE))," ",VLOOKUP(期末试卷分析表!F3,'2、试卷（期末题目-课程目标）'!$A$1:$C$81,3,FALSE))</f>
        <v>20</v>
      </c>
      <c r="G7" s="5" t="str">
        <f>IF(ISBLANK(VLOOKUP(期末试卷分析表!G3,'2、试卷（期末题目-课程目标）'!$A$1:$C$81,3,FALSE))," ",VLOOKUP(期末试卷分析表!G3,'2、试卷（期末题目-课程目标）'!$A$1:$C$81,3,FALSE))</f>
        <v> </v>
      </c>
      <c r="H7" s="5" t="str">
        <f>IF(ISBLANK(VLOOKUP(期末试卷分析表!H3,'2、试卷（期末题目-课程目标）'!$A$1:$C$81,3,FALSE))," ",VLOOKUP(期末试卷分析表!H3,'2、试卷（期末题目-课程目标）'!$A$1:$C$81,3,FALSE))</f>
        <v> </v>
      </c>
      <c r="I7" s="5" t="str">
        <f>IF(ISBLANK(VLOOKUP(期末试卷分析表!I3,'2、试卷（期末题目-课程目标）'!$A$1:$C$81,3,FALSE))," ",VLOOKUP(期末试卷分析表!I3,'2、试卷（期末题目-课程目标）'!$A$1:$C$81,3,FALSE))</f>
        <v> </v>
      </c>
      <c r="J7" s="5" t="str">
        <f>IF(ISBLANK(VLOOKUP(期末试卷分析表!J3,'2、试卷（期末题目-课程目标）'!$A$1:$C$81,3,FALSE))," ",VLOOKUP(期末试卷分析表!J3,'2、试卷（期末题目-课程目标）'!$A$1:$C$81,3,FALSE))</f>
        <v> </v>
      </c>
      <c r="K7" s="5" t="str">
        <f>IF(ISBLANK(VLOOKUP(期末试卷分析表!K3,'2、试卷（期末题目-课程目标）'!$A$1:$C$81,3,FALSE))," ",VLOOKUP(期末试卷分析表!K3,'2、试卷（期末题目-课程目标）'!$A$1:$C$81,3,FALSE))</f>
        <v> </v>
      </c>
      <c r="L7" s="5" t="str">
        <f>IF(ISBLANK(VLOOKUP(期末试卷分析表!L3,'2、试卷（期末题目-课程目标）'!$A$1:$C$81,3,FALSE))," ",VLOOKUP(期末试卷分析表!L3,'2、试卷（期末题目-课程目标）'!$A$1:$C$81,3,FALSE))</f>
        <v> </v>
      </c>
      <c r="M7" s="5" t="str">
        <f>IF(ISBLANK(VLOOKUP(期末试卷分析表!M3,'2、试卷（期末题目-课程目标）'!$A$1:$C$81,3,FALSE))," ",VLOOKUP(期末试卷分析表!M3,'2、试卷（期末题目-课程目标）'!$A$1:$C$81,3,FALSE))</f>
        <v> </v>
      </c>
      <c r="N7" s="5" t="str">
        <f>IF(ISBLANK(VLOOKUP(期末试卷分析表!N3,'2、试卷（期末题目-课程目标）'!$A$1:$C$81,3,FALSE))," ",VLOOKUP(期末试卷分析表!N3,'2、试卷（期末题目-课程目标）'!$A$1:$C$81,3,FALSE))</f>
        <v> </v>
      </c>
      <c r="O7" s="5" t="str">
        <f>IF(ISBLANK(VLOOKUP(期末试卷分析表!O3,'2、试卷（期末题目-课程目标）'!$A$1:$C$81,3,FALSE))," ",VLOOKUP(期末试卷分析表!O3,'2、试卷（期末题目-课程目标）'!$A$1:$C$81,3,FALSE))</f>
        <v> </v>
      </c>
      <c r="P7" s="5" t="str">
        <f>IF(ISBLANK(VLOOKUP(期末试卷分析表!P3,'2、试卷（期末题目-课程目标）'!$A$1:$C$81,3,FALSE))," ",VLOOKUP(期末试卷分析表!P3,'2、试卷（期末题目-课程目标）'!$A$1:$C$81,3,FALSE))</f>
        <v> </v>
      </c>
      <c r="Q7" s="5" t="str">
        <f>IF(ISBLANK(VLOOKUP(期末试卷分析表!Q3,'2、试卷（期末题目-课程目标）'!$A$1:$C$81,3,FALSE))," ",VLOOKUP(期末试卷分析表!Q3,'2、试卷（期末题目-课程目标）'!$A$1:$C$81,3,FALSE))</f>
        <v> </v>
      </c>
      <c r="R7" s="5" t="str">
        <f>IF(ISBLANK(VLOOKUP(期末试卷分析表!R3,'2、试卷（期末题目-课程目标）'!$A$1:$C$81,3,FALSE))," ",VLOOKUP(期末试卷分析表!R3,'2、试卷（期末题目-课程目标）'!$A$1:$C$81,3,FALSE))</f>
        <v> </v>
      </c>
      <c r="S7" s="5" t="str">
        <f>IF(ISBLANK(VLOOKUP(期末试卷分析表!S3,'2、试卷（期末题目-课程目标）'!$A$1:$C$81,3,FALSE))," ",VLOOKUP(期末试卷分析表!S3,'2、试卷（期末题目-课程目标）'!$A$1:$C$81,3,FALSE))</f>
        <v> </v>
      </c>
      <c r="T7" s="5" t="str">
        <f>IF(ISBLANK(VLOOKUP(期末试卷分析表!T3,'2、试卷（期末题目-课程目标）'!$A$1:$C$81,3,FALSE))," ",VLOOKUP(期末试卷分析表!T3,'2、试卷（期末题目-课程目标）'!$A$1:$C$81,3,FALSE))</f>
        <v> </v>
      </c>
      <c r="U7" s="5" t="str">
        <f>IF(ISBLANK(VLOOKUP(期末试卷分析表!U3,'2、试卷（期末题目-课程目标）'!$A$1:$C$81,3,FALSE))," ",VLOOKUP(期末试卷分析表!U3,'2、试卷（期末题目-课程目标）'!$A$1:$C$81,3,FALSE))</f>
        <v> </v>
      </c>
      <c r="V7" s="5" t="str">
        <f>IF(ISBLANK(VLOOKUP(期末试卷分析表!V3,'2、试卷（期末题目-课程目标）'!$A$1:$C$81,3,FALSE))," ",VLOOKUP(期末试卷分析表!V3,'2、试卷（期末题目-课程目标）'!$A$1:$C$81,3,FALSE))</f>
        <v> </v>
      </c>
      <c r="W7" s="5" t="str">
        <f>IF(ISBLANK(VLOOKUP(期末试卷分析表!W3,'2、试卷（期末题目-课程目标）'!$A$1:$C$81,3,FALSE))," ",VLOOKUP(期末试卷分析表!W3,'2、试卷（期末题目-课程目标）'!$A$1:$C$81,3,FALSE))</f>
        <v> </v>
      </c>
      <c r="X7" s="5" t="str">
        <f>IF(ISBLANK(VLOOKUP(期末试卷分析表!X3,'2、试卷（期末题目-课程目标）'!$A$1:$C$81,3,FALSE))," ",VLOOKUP(期末试卷分析表!X3,'2、试卷（期末题目-课程目标）'!$A$1:$C$81,3,FALSE))</f>
        <v> </v>
      </c>
      <c r="Y7" s="5" t="str">
        <f>IF(ISBLANK(VLOOKUP(期末试卷分析表!Y3,'2、试卷（期末题目-课程目标）'!$A$1:$C$81,3,FALSE))," ",VLOOKUP(期末试卷分析表!Y3,'2、试卷（期末题目-课程目标）'!$A$1:$C$81,3,FALSE))</f>
        <v> </v>
      </c>
      <c r="Z7" s="5" t="str">
        <f>IF(ISBLANK(VLOOKUP(期末试卷分析表!Z3,'2、试卷（期末题目-课程目标）'!$A$1:$C$81,3,FALSE))," ",VLOOKUP(期末试卷分析表!Z3,'2、试卷（期末题目-课程目标）'!$A$1:$C$81,3,FALSE))</f>
        <v> </v>
      </c>
      <c r="AA7" s="5" t="str">
        <f>IF(ISBLANK(VLOOKUP(期末试卷分析表!AA3,'2、试卷（期末题目-课程目标）'!$A$1:$C$81,3,FALSE))," ",VLOOKUP(期末试卷分析表!AA3,'2、试卷（期末题目-课程目标）'!$A$1:$C$81,3,FALSE))</f>
        <v> </v>
      </c>
      <c r="AB7" s="5" t="str">
        <f>IF(ISBLANK(VLOOKUP(期末试卷分析表!AB3,'2、试卷（期末题目-课程目标）'!$A$1:$C$81,3,FALSE))," ",VLOOKUP(期末试卷分析表!AB3,'2、试卷（期末题目-课程目标）'!$A$1:$C$81,3,FALSE))</f>
        <v> </v>
      </c>
      <c r="AC7" s="5" t="str">
        <f>IF(ISBLANK(VLOOKUP(期末试卷分析表!AC3,'2、试卷（期末题目-课程目标）'!$A$1:$C$81,3,FALSE))," ",VLOOKUP(期末试卷分析表!AC3,'2、试卷（期末题目-课程目标）'!$A$1:$C$81,3,FALSE))</f>
        <v> </v>
      </c>
      <c r="AD7" s="5" t="str">
        <f>IF(ISBLANK(VLOOKUP(期末试卷分析表!AD3,'2、试卷（期末题目-课程目标）'!$A$1:$C$81,3,FALSE))," ",VLOOKUP(期末试卷分析表!AD3,'2、试卷（期末题目-课程目标）'!$A$1:$C$81,3,FALSE))</f>
        <v> </v>
      </c>
      <c r="AE7" s="5" t="str">
        <f>IF(ISBLANK(VLOOKUP(期末试卷分析表!AE3,'2、试卷（期末题目-课程目标）'!$A$1:$C$81,3,FALSE))," ",VLOOKUP(期末试卷分析表!AE3,'2、试卷（期末题目-课程目标）'!$A$1:$C$81,3,FALSE))</f>
        <v> </v>
      </c>
      <c r="AF7" s="5" t="str">
        <f>IF(ISBLANK(VLOOKUP(期末试卷分析表!AF3,'2、试卷（期末题目-课程目标）'!$A$1:$C$81,3,FALSE))," ",VLOOKUP(期末试卷分析表!AF3,'2、试卷（期末题目-课程目标）'!$A$1:$C$81,3,FALSE))</f>
        <v> </v>
      </c>
      <c r="AG7" s="5" t="str">
        <f>IF(ISBLANK(VLOOKUP(期末试卷分析表!AG3,'2、试卷（期末题目-课程目标）'!$A$1:$C$81,3,FALSE))," ",VLOOKUP(期末试卷分析表!AG3,'2、试卷（期末题目-课程目标）'!$A$1:$C$81,3,FALSE))</f>
        <v> </v>
      </c>
      <c r="AH7" s="5" t="str">
        <f>IF(ISBLANK(VLOOKUP(期末试卷分析表!AH3,'2、试卷（期末题目-课程目标）'!$A$1:$C$81,3,FALSE))," ",VLOOKUP(期末试卷分析表!AH3,'2、试卷（期末题目-课程目标）'!$A$1:$C$81,3,FALSE))</f>
        <v> </v>
      </c>
      <c r="AI7" s="5" t="str">
        <f>IF(ISBLANK(VLOOKUP(期末试卷分析表!AI3,'2、试卷（期末题目-课程目标）'!$A$1:$C$81,3,FALSE))," ",VLOOKUP(期末试卷分析表!AI3,'2、试卷（期末题目-课程目标）'!$A$1:$C$81,3,FALSE))</f>
        <v> </v>
      </c>
      <c r="AJ7" s="5" t="str">
        <f>IF(ISBLANK(VLOOKUP(期末试卷分析表!AJ3,'2、试卷（期末题目-课程目标）'!$A$1:$C$81,3,FALSE))," ",VLOOKUP(期末试卷分析表!AJ3,'2、试卷（期末题目-课程目标）'!$A$1:$C$81,3,FALSE))</f>
        <v> </v>
      </c>
      <c r="AK7" s="5" t="str">
        <f>IF(ISBLANK(VLOOKUP(期末试卷分析表!AK3,'2、试卷（期末题目-课程目标）'!$A$1:$C$81,3,FALSE))," ",VLOOKUP(期末试卷分析表!AK3,'2、试卷（期末题目-课程目标）'!$A$1:$C$81,3,FALSE))</f>
        <v> </v>
      </c>
      <c r="AL7" s="5" t="str">
        <f>IF(ISBLANK(VLOOKUP(期末试卷分析表!AL3,'2、试卷（期末题目-课程目标）'!$A$1:$C$81,3,FALSE))," ",VLOOKUP(期末试卷分析表!AL3,'2、试卷（期末题目-课程目标）'!$A$1:$C$81,3,FALSE))</f>
        <v> </v>
      </c>
      <c r="AM7" s="5" t="str">
        <f>IF(ISBLANK(VLOOKUP(期末试卷分析表!AM3,'2、试卷（期末题目-课程目标）'!$A$1:$C$81,3,FALSE))," ",VLOOKUP(期末试卷分析表!AM3,'2、试卷（期末题目-课程目标）'!$A$1:$C$81,3,FALSE))</f>
        <v> </v>
      </c>
      <c r="AN7" s="5" t="str">
        <f>IF(ISBLANK(VLOOKUP(期末试卷分析表!AN3,'2、试卷（期末题目-课程目标）'!$A$1:$C$81,3,FALSE))," ",VLOOKUP(期末试卷分析表!AN3,'2、试卷（期末题目-课程目标）'!$A$1:$C$81,3,FALSE))</f>
        <v> </v>
      </c>
      <c r="AO7" s="5" t="str">
        <f>IF(ISBLANK(VLOOKUP(期末试卷分析表!AO3,'2、试卷（期末题目-课程目标）'!$A$1:$C$81,3,FALSE))," ",VLOOKUP(期末试卷分析表!AO3,'2、试卷（期末题目-课程目标）'!$A$1:$C$81,3,FALSE))</f>
        <v> </v>
      </c>
      <c r="AP7" s="5" t="str">
        <f>IF(ISBLANK(VLOOKUP(期末试卷分析表!AP3,'2、试卷（期末题目-课程目标）'!$A$1:$C$81,3,FALSE))," ",VLOOKUP(期末试卷分析表!AP3,'2、试卷（期末题目-课程目标）'!$A$1:$C$81,3,FALSE))</f>
        <v> </v>
      </c>
      <c r="AQ7" s="5" t="str">
        <f>IF(ISBLANK(VLOOKUP(期末试卷分析表!AQ3,'2、试卷（期末题目-课程目标）'!$A$1:$C$81,3,FALSE))," ",VLOOKUP(期末试卷分析表!AQ3,'2、试卷（期末题目-课程目标）'!$A$1:$C$81,3,FALSE))</f>
        <v> </v>
      </c>
      <c r="AR7" s="5" t="str">
        <f>IF(ISBLANK(VLOOKUP(期末试卷分析表!AR3,'2、试卷（期末题目-课程目标）'!$A$1:$C$81,3,FALSE))," ",VLOOKUP(期末试卷分析表!AR3,'2、试卷（期末题目-课程目标）'!$A$1:$C$81,3,FALSE))</f>
        <v> </v>
      </c>
      <c r="AS7" s="5" t="str">
        <f>IF(ISBLANK(VLOOKUP(期末试卷分析表!AS3,'2、试卷（期末题目-课程目标）'!$A$1:$C$81,3,FALSE))," ",VLOOKUP(期末试卷分析表!AS3,'2、试卷（期末题目-课程目标）'!$A$1:$C$81,3,FALSE))</f>
        <v> </v>
      </c>
      <c r="AT7" s="5" t="str">
        <f>IF(ISBLANK(VLOOKUP(期末试卷分析表!AT3,'2、试卷（期末题目-课程目标）'!$A$1:$C$81,3,FALSE))," ",VLOOKUP(期末试卷分析表!AT3,'2、试卷（期末题目-课程目标）'!$A$1:$C$81,3,FALSE))</f>
        <v> </v>
      </c>
      <c r="AU7" s="5" t="str">
        <f>IF(ISBLANK(VLOOKUP(期末试卷分析表!AU3,'2、试卷（期末题目-课程目标）'!$A$1:$C$81,3,FALSE))," ",VLOOKUP(期末试卷分析表!AU3,'2、试卷（期末题目-课程目标）'!$A$1:$C$81,3,FALSE))</f>
        <v> </v>
      </c>
      <c r="AV7" s="5" t="str">
        <f>IF(ISBLANK(VLOOKUP(期末试卷分析表!AV3,'2、试卷（期末题目-课程目标）'!$A$1:$C$81,3,FALSE))," ",VLOOKUP(期末试卷分析表!AV3,'2、试卷（期末题目-课程目标）'!$A$1:$C$81,3,FALSE))</f>
        <v> </v>
      </c>
      <c r="AW7" s="5" t="str">
        <f>IF(ISBLANK(VLOOKUP(期末试卷分析表!AW3,'2、试卷（期末题目-课程目标）'!$A$1:$C$81,3,FALSE))," ",VLOOKUP(期末试卷分析表!AW3,'2、试卷（期末题目-课程目标）'!$A$1:$C$81,3,FALSE))</f>
        <v> </v>
      </c>
      <c r="AX7" s="5" t="str">
        <f>IF(ISBLANK(VLOOKUP(期末试卷分析表!AX3,'2、试卷（期末题目-课程目标）'!$A$1:$C$81,3,FALSE))," ",VLOOKUP(期末试卷分析表!AX3,'2、试卷（期末题目-课程目标）'!$A$1:$C$81,3,FALSE))</f>
        <v> </v>
      </c>
      <c r="AY7" s="5" t="str">
        <f>IF(ISBLANK(VLOOKUP(期末试卷分析表!AY3,'2、试卷（期末题目-课程目标）'!$A$1:$C$81,3,FALSE))," ",VLOOKUP(期末试卷分析表!AY3,'2、试卷（期末题目-课程目标）'!$A$1:$C$81,3,FALSE))</f>
        <v> </v>
      </c>
      <c r="AZ7" s="5" t="str">
        <f>IF(ISBLANK(VLOOKUP(期末试卷分析表!AZ3,'2、试卷（期末题目-课程目标）'!$A$1:$C$81,3,FALSE))," ",VLOOKUP(期末试卷分析表!AZ3,'2、试卷（期末题目-课程目标）'!$A$1:$C$81,3,FALSE))</f>
        <v> </v>
      </c>
      <c r="BA7" s="5" t="str">
        <f>IF(ISBLANK(VLOOKUP(期末试卷分析表!BA3,'2、试卷（期末题目-课程目标）'!$A$1:$C$81,3,FALSE))," ",VLOOKUP(期末试卷分析表!BA3,'2、试卷（期末题目-课程目标）'!$A$1:$C$81,3,FALSE))</f>
        <v> </v>
      </c>
      <c r="BB7" s="5" t="str">
        <f>IF(ISBLANK(VLOOKUP(期末试卷分析表!BB3,'2、试卷（期末题目-课程目标）'!$A$1:$C$81,3,FALSE))," ",VLOOKUP(期末试卷分析表!BB3,'2、试卷（期末题目-课程目标）'!$A$1:$C$81,3,FALSE))</f>
        <v> </v>
      </c>
      <c r="BC7" s="5" t="str">
        <f>IF(ISBLANK(VLOOKUP(期末试卷分析表!BC3,'2、试卷（期末题目-课程目标）'!$A$1:$C$81,3,FALSE))," ",VLOOKUP(期末试卷分析表!BC3,'2、试卷（期末题目-课程目标）'!$A$1:$C$81,3,FALSE))</f>
        <v> </v>
      </c>
      <c r="BD7" s="5" t="str">
        <f>IF(ISBLANK(VLOOKUP(期末试卷分析表!BD3,'2、试卷（期末题目-课程目标）'!$A$1:$C$81,3,FALSE))," ",VLOOKUP(期末试卷分析表!BD3,'2、试卷（期末题目-课程目标）'!$A$1:$C$81,3,FALSE))</f>
        <v> </v>
      </c>
      <c r="BE7" s="5" t="str">
        <f>IF(ISBLANK(VLOOKUP(期末试卷分析表!BE3,'2、试卷（期末题目-课程目标）'!$A$1:$C$81,3,FALSE))," ",VLOOKUP(期末试卷分析表!BE3,'2、试卷（期末题目-课程目标）'!$A$1:$C$81,3,FALSE))</f>
        <v> </v>
      </c>
      <c r="BF7" s="5" t="str">
        <f>IF(ISBLANK(VLOOKUP(期末试卷分析表!BF3,'2、试卷（期末题目-课程目标）'!$A$1:$C$81,3,FALSE))," ",VLOOKUP(期末试卷分析表!BF3,'2、试卷（期末题目-课程目标）'!$A$1:$C$81,3,FALSE))</f>
        <v> </v>
      </c>
      <c r="BG7" s="5" t="str">
        <f>IF(ISBLANK(VLOOKUP(期末试卷分析表!BG3,'2、试卷（期末题目-课程目标）'!$A$1:$C$81,3,FALSE))," ",VLOOKUP(期末试卷分析表!BG3,'2、试卷（期末题目-课程目标）'!$A$1:$C$81,3,FALSE))</f>
        <v> </v>
      </c>
      <c r="BH7" s="5" t="str">
        <f>IF(ISBLANK(VLOOKUP(期末试卷分析表!BH3,'2、试卷（期末题目-课程目标）'!$A$1:$C$81,3,FALSE))," ",VLOOKUP(期末试卷分析表!BH3,'2、试卷（期末题目-课程目标）'!$A$1:$C$81,3,FALSE))</f>
        <v> </v>
      </c>
      <c r="BI7" s="5" t="str">
        <f>IF(ISBLANK(VLOOKUP(期末试卷分析表!BI3,'2、试卷（期末题目-课程目标）'!$A$1:$C$81,3,FALSE))," ",VLOOKUP(期末试卷分析表!BI3,'2、试卷（期末题目-课程目标）'!$A$1:$C$81,3,FALSE))</f>
        <v> </v>
      </c>
      <c r="BJ7" s="5" t="str">
        <f>IF(ISBLANK(VLOOKUP(期末试卷分析表!BJ3,'2、试卷（期末题目-课程目标）'!$A$1:$C$81,3,FALSE))," ",VLOOKUP(期末试卷分析表!BJ3,'2、试卷（期末题目-课程目标）'!$A$1:$C$81,3,FALSE))</f>
        <v> </v>
      </c>
      <c r="BK7" s="5" t="str">
        <f>IF(ISBLANK(VLOOKUP(期末试卷分析表!BK3,'2、试卷（期末题目-课程目标）'!$A$1:$C$81,3,FALSE))," ",VLOOKUP(期末试卷分析表!BK3,'2、试卷（期末题目-课程目标）'!$A$1:$C$81,3,FALSE))</f>
        <v> </v>
      </c>
      <c r="BL7" s="5" t="str">
        <f>IF(ISBLANK(VLOOKUP(期末试卷分析表!BL3,'2、试卷（期末题目-课程目标）'!$A$1:$C$81,3,FALSE))," ",VLOOKUP(期末试卷分析表!BL3,'2、试卷（期末题目-课程目标）'!$A$1:$C$81,3,FALSE))</f>
        <v> </v>
      </c>
      <c r="BM7" s="5" t="str">
        <f>IF(ISBLANK(VLOOKUP(期末试卷分析表!BM3,'2、试卷（期末题目-课程目标）'!$A$1:$C$81,3,FALSE))," ",VLOOKUP(期末试卷分析表!BM3,'2、试卷（期末题目-课程目标）'!$A$1:$C$81,3,FALSE))</f>
        <v> </v>
      </c>
      <c r="BN7" s="5" t="str">
        <f>IF(ISBLANK(VLOOKUP(期末试卷分析表!BN3,'2、试卷（期末题目-课程目标）'!$A$1:$C$81,3,FALSE))," ",VLOOKUP(期末试卷分析表!BN3,'2、试卷（期末题目-课程目标）'!$A$1:$C$81,3,FALSE))</f>
        <v> </v>
      </c>
      <c r="BO7" s="5" t="str">
        <f>IF(ISBLANK(VLOOKUP(期末试卷分析表!BO3,'2、试卷（期末题目-课程目标）'!$A$1:$C$81,3,FALSE))," ",VLOOKUP(期末试卷分析表!BO3,'2、试卷（期末题目-课程目标）'!$A$1:$C$81,3,FALSE))</f>
        <v> </v>
      </c>
      <c r="BP7" s="5" t="str">
        <f>IF(ISBLANK(VLOOKUP(期末试卷分析表!BP3,'2、试卷（期末题目-课程目标）'!$A$1:$C$81,3,FALSE))," ",VLOOKUP(期末试卷分析表!BP3,'2、试卷（期末题目-课程目标）'!$A$1:$C$81,3,FALSE))</f>
        <v> </v>
      </c>
      <c r="BQ7" s="5" t="str">
        <f>IF(ISBLANK(VLOOKUP(期末试卷分析表!BQ3,'2、试卷（期末题目-课程目标）'!$A$1:$C$81,3,FALSE))," ",VLOOKUP(期末试卷分析表!BQ3,'2、试卷（期末题目-课程目标）'!$A$1:$C$81,3,FALSE))</f>
        <v> </v>
      </c>
      <c r="BR7" s="5" t="str">
        <f>IF(ISBLANK(VLOOKUP(期末试卷分析表!BR3,'2、试卷（期末题目-课程目标）'!$A$1:$C$81,3,FALSE))," ",VLOOKUP(期末试卷分析表!BR3,'2、试卷（期末题目-课程目标）'!$A$1:$C$81,3,FALSE))</f>
        <v> </v>
      </c>
      <c r="BS7" s="5" t="str">
        <f>IF(ISBLANK(VLOOKUP(期末试卷分析表!BS3,'2、试卷（期末题目-课程目标）'!$A$1:$C$81,3,FALSE))," ",VLOOKUP(期末试卷分析表!BS3,'2、试卷（期末题目-课程目标）'!$A$1:$C$81,3,FALSE))</f>
        <v> </v>
      </c>
      <c r="BT7" s="5" t="str">
        <f>IF(ISBLANK(VLOOKUP(期末试卷分析表!BT3,'2、试卷（期末题目-课程目标）'!$A$1:$C$81,3,FALSE))," ",VLOOKUP(期末试卷分析表!BT3,'2、试卷（期末题目-课程目标）'!$A$1:$C$81,3,FALSE))</f>
        <v> </v>
      </c>
      <c r="BU7" s="5" t="str">
        <f>IF(ISBLANK(VLOOKUP(期末试卷分析表!BU3,'2、试卷（期末题目-课程目标）'!$A$1:$C$81,3,FALSE))," ",VLOOKUP(期末试卷分析表!BU3,'2、试卷（期末题目-课程目标）'!$A$1:$C$81,3,FALSE))</f>
        <v> </v>
      </c>
      <c r="BV7" s="5" t="str">
        <f>IF(ISBLANK(VLOOKUP(期末试卷分析表!BV3,'2、试卷（期末题目-课程目标）'!$A$1:$C$81,3,FALSE))," ",VLOOKUP(期末试卷分析表!BV3,'2、试卷（期末题目-课程目标）'!$A$1:$C$81,3,FALSE))</f>
        <v> </v>
      </c>
      <c r="BW7" s="5" t="str">
        <f>IF(ISBLANK(VLOOKUP(期末试卷分析表!BW3,'2、试卷（期末题目-课程目标）'!$A$1:$C$81,3,FALSE))," ",VLOOKUP(期末试卷分析表!BW3,'2、试卷（期末题目-课程目标）'!$A$1:$C$81,3,FALSE))</f>
        <v> </v>
      </c>
      <c r="BX7" s="5" t="str">
        <f>IF(ISBLANK(VLOOKUP(期末试卷分析表!BX3,'2、试卷（期末题目-课程目标）'!$A$1:$C$81,3,FALSE))," ",VLOOKUP(期末试卷分析表!BX3,'2、试卷（期末题目-课程目标）'!$A$1:$C$81,3,FALSE))</f>
        <v> </v>
      </c>
      <c r="BY7" s="5" t="str">
        <f>IF(ISBLANK(VLOOKUP(期末试卷分析表!BY3,'2、试卷（期末题目-课程目标）'!$A$1:$C$81,3,FALSE))," ",VLOOKUP(期末试卷分析表!BY3,'2、试卷（期末题目-课程目标）'!$A$1:$C$81,3,FALSE))</f>
        <v> </v>
      </c>
      <c r="BZ7" s="5" t="str">
        <f>IF(ISBLANK(VLOOKUP(期末试卷分析表!BZ3,'2、试卷（期末题目-课程目标）'!$A$1:$C$81,3,FALSE))," ",VLOOKUP(期末试卷分析表!BZ3,'2、试卷（期末题目-课程目标）'!$A$1:$C$81,3,FALSE))</f>
        <v> </v>
      </c>
      <c r="CA7" s="5" t="str">
        <f>IF(ISBLANK(VLOOKUP(期末试卷分析表!CA3,'2、试卷（期末题目-课程目标）'!$A$1:$C$81,3,FALSE))," ",VLOOKUP(期末试卷分析表!CA3,'2、试卷（期末题目-课程目标）'!$A$1:$C$81,3,FALSE))</f>
        <v> </v>
      </c>
      <c r="CB7" s="5" t="str">
        <f>IF(ISBLANK(VLOOKUP(期末试卷分析表!CB3,'2、试卷（期末题目-课程目标）'!$A$1:$C$81,3,FALSE))," ",VLOOKUP(期末试卷分析表!CB3,'2、试卷（期末题目-课程目标）'!$A$1:$C$81,3,FALSE))</f>
        <v> </v>
      </c>
      <c r="CC7" s="5" t="str">
        <f>IF(ISBLANK(VLOOKUP(期末试卷分析表!CC3,'2、试卷（期末题目-课程目标）'!$A$1:$C$81,3,FALSE))," ",VLOOKUP(期末试卷分析表!CC3,'2、试卷（期末题目-课程目标）'!$A$1:$C$81,3,FALSE))</f>
        <v> </v>
      </c>
    </row>
    <row r="8" customFormat="1"/>
    <row r="9" customFormat="1"/>
    <row r="10" spans="1:12">
      <c r="A10" s="5"/>
      <c r="B10" s="6" t="s">
        <v>57</v>
      </c>
      <c r="C10" s="6" t="s">
        <v>59</v>
      </c>
      <c r="D10" s="6" t="s">
        <v>60</v>
      </c>
      <c r="E10" s="6" t="s">
        <v>61</v>
      </c>
      <c r="F10" s="6" t="s">
        <v>62</v>
      </c>
      <c r="G10" s="6" t="s">
        <v>63</v>
      </c>
      <c r="H10" s="6" t="s">
        <v>64</v>
      </c>
      <c r="I10" s="6" t="s">
        <v>66</v>
      </c>
      <c r="J10" s="6" t="s">
        <v>67</v>
      </c>
      <c r="K10" s="6" t="s">
        <v>68</v>
      </c>
      <c r="L10" s="18" t="s">
        <v>792</v>
      </c>
    </row>
    <row r="11" spans="1:12">
      <c r="A11" s="7" t="s">
        <v>789</v>
      </c>
      <c r="B11" s="10">
        <f ca="1">IF(ISBLANK('2、试卷（期末）'!B2)," ",SUM(INDIRECT(ADDRESS(2,COLUMN(CD4)+1,,,"3、期末成绩")):INDIRECT(ADDRESS(($B$1+1),COLUMN(CD4)+1,,,"3、期末成绩"))))</f>
        <v>2510</v>
      </c>
      <c r="C11" s="10">
        <f ca="1">IF(ISBLANK('2、试卷（期末）'!C2)," ",SUM(INDIRECT(ADDRESS(2,COLUMN(CE4)+1,,,"3、期末成绩")):INDIRECT(ADDRESS(($B$1+1),COLUMN(CE4)+1,,,"3、期末成绩"))))</f>
        <v>2415</v>
      </c>
      <c r="D11" s="10" t="str">
        <f ca="1">IF(ISBLANK('2、试卷（期末）'!D1)," ",SUM(INDIRECT(ADDRESS(2,COLUMN(CF4)+1,,,"3、期末成绩")):INDIRECT(ADDRESS(($B$1+1),COLUMN(CF4)+1,,,"3、期末成绩"))))</f>
        <v> </v>
      </c>
      <c r="E11" s="10" t="str">
        <f ca="1">IF(ISBLANK('2、试卷（期末）'!E1)," ",SUM(INDIRECT(ADDRESS(2,COLUMN(CG4)+1,,,"3、期末成绩")):INDIRECT(ADDRESS(($B$1+1),COLUMN(CG4)+1,,,"3、期末成绩"))))</f>
        <v> </v>
      </c>
      <c r="F11" s="10" t="str">
        <f ca="1">IF(ISBLANK('2、试卷（期末）'!F1)," ",SUM(INDIRECT(ADDRESS(2,COLUMN(CH4)+1,,,"3、期末成绩")):INDIRECT(ADDRESS(($B$1+1),COLUMN(CH4)+1,,,"3、期末成绩"))))</f>
        <v> </v>
      </c>
      <c r="G11" s="10" t="str">
        <f ca="1">IF(ISBLANK('2、试卷（期末）'!G1)," ",SUM(INDIRECT(ADDRESS(2,COLUMN(CI4)+1,,,"3、期末成绩")):INDIRECT(ADDRESS(($B$1+1),COLUMN(CI4)+1,,,"3、期末成绩"))))</f>
        <v> </v>
      </c>
      <c r="H11" s="10" t="str">
        <f ca="1">IF(ISBLANK('2、试卷（期末）'!H1)," ",SUM(INDIRECT(ADDRESS(2,COLUMN(CJ4)+1,,,"3、期末成绩")):INDIRECT(ADDRESS(($B$1+1),COLUMN(CJ4)+1,,,"3、期末成绩"))))</f>
        <v> </v>
      </c>
      <c r="I11" s="10" t="str">
        <f ca="1">IF(ISBLANK('2、试卷（期末）'!I1)," ",SUM(INDIRECT(ADDRESS(2,COLUMN(CK4)+1,,,"3、期末成绩")):INDIRECT(ADDRESS(($B$1+1),COLUMN(CK4)+1,,,"3、期末成绩"))))</f>
        <v> </v>
      </c>
      <c r="J11" s="10" t="str">
        <f ca="1">IF(ISBLANK('2、试卷（期末）'!J1)," ",SUM(INDIRECT(ADDRESS(2,COLUMN(CL4)+1,,,"3、期末成绩")):INDIRECT(ADDRESS(($B$1+1),COLUMN(CL4)+1,,,"3、期末成绩"))))</f>
        <v> </v>
      </c>
      <c r="K11" s="10" t="str">
        <f ca="1">IF(ISBLANK('2、试卷（期末）'!K1)," ",SUM(INDIRECT(ADDRESS(2,COLUMN(CM4)+1,,,"3、期末成绩")):INDIRECT(ADDRESS(($B$1+1),COLUMN(CM4)+1,,,"3、期末成绩"))))</f>
        <v> </v>
      </c>
      <c r="L11" s="10">
        <f ca="1">IF('3、期末成绩'!CO2=0," ",SUM(INDIRECT(ADDRESS(2,COLUMN(CN4)+1,,,"3、期末成绩")):INDIRECT(ADDRESS(($B$1+1),COLUMN(CN4)+1,,,"3、期末成绩"))))</f>
        <v>6650</v>
      </c>
    </row>
    <row r="12" spans="1:12">
      <c r="A12" s="7" t="s">
        <v>790</v>
      </c>
      <c r="B12" s="9">
        <f ca="1">IF(B11=" "," ",B11/$B$1)</f>
        <v>35.8571428571429</v>
      </c>
      <c r="C12" s="9">
        <f ca="1" t="shared" ref="C12:L12" si="2">IF(C11=" "," ",C11/$B$1)</f>
        <v>34.5</v>
      </c>
      <c r="D12" s="9" t="str">
        <f ca="1" t="shared" si="2"/>
        <v> </v>
      </c>
      <c r="E12" s="9" t="str">
        <f ca="1" t="shared" si="2"/>
        <v> </v>
      </c>
      <c r="F12" s="9" t="str">
        <f ca="1" t="shared" si="2"/>
        <v> </v>
      </c>
      <c r="G12" s="9" t="str">
        <f ca="1" t="shared" si="2"/>
        <v> </v>
      </c>
      <c r="H12" s="9" t="str">
        <f ca="1" t="shared" si="2"/>
        <v> </v>
      </c>
      <c r="I12" s="9" t="str">
        <f ca="1" t="shared" si="2"/>
        <v> </v>
      </c>
      <c r="J12" s="9" t="str">
        <f ca="1" t="shared" si="2"/>
        <v> </v>
      </c>
      <c r="K12" s="9" t="str">
        <f ca="1" t="shared" si="2"/>
        <v> </v>
      </c>
      <c r="L12" s="9">
        <f ca="1" t="shared" si="2"/>
        <v>95</v>
      </c>
    </row>
    <row r="13" spans="1:12">
      <c r="A13" s="7" t="s">
        <v>72</v>
      </c>
      <c r="B13" s="5">
        <f ca="1">IF(B11=" "," ",SUM(IF(COLUMN(B7:CC7)&lt;(2+SUM('2、试卷（期末）'!B2)),B7:CC7,)))</f>
        <v>100</v>
      </c>
      <c r="C13" s="5">
        <f ca="1">IF(C11=" "," ",SUM(IF(COLUMN(C7:CD7)&lt;(2+SUM('2、试卷（期末）'!C2)),C7:CD7,)))</f>
        <v>0</v>
      </c>
      <c r="D13" s="5" t="str">
        <f ca="1">IF(D11=" "," ",SUM(IF(COLUMN(D7:CE7)&lt;(2+SUM('2、试卷（期末）'!D1)),D7:CE7,)))</f>
        <v> </v>
      </c>
      <c r="E13" s="5" t="str">
        <f ca="1">IF(E11=" "," ",SUM(IF(COLUMN(E7:CF7)&lt;(2+SUM('2、试卷（期末）'!E1)),E7:CF7,)))</f>
        <v> </v>
      </c>
      <c r="F13" s="5" t="str">
        <f ca="1">IF(F11=" "," ",SUM(IF(COLUMN(F7:CG7)&lt;(2+SUM('2、试卷（期末）'!F1)),F7:CG7,)))</f>
        <v> </v>
      </c>
      <c r="G13" s="5" t="str">
        <f ca="1">IF(G11=" "," ",SUM(IF(COLUMN(G7:CH7)&lt;(2+SUM('2、试卷（期末）'!G1)),G7:CH7,)))</f>
        <v> </v>
      </c>
      <c r="H13" s="5" t="str">
        <f ca="1">IF(H11=" "," ",SUM(IF(COLUMN(H7:CI7)&lt;(2+SUM('2、试卷（期末）'!H1)),H7:CI7,)))</f>
        <v> </v>
      </c>
      <c r="I13" s="5" t="str">
        <f ca="1">IF(I11=" "," ",SUM(IF(COLUMN(I7:CJ7)&lt;(2+SUM('2、试卷（期末）'!I1)),I7:CJ7,)))</f>
        <v> </v>
      </c>
      <c r="J13" s="5" t="str">
        <f ca="1">IF(J11=" "," ",SUM(IF(COLUMN(J7:CK7)&lt;(2+SUM('2、试卷（期末）'!J1)),J7:CK7,)))</f>
        <v> </v>
      </c>
      <c r="K13" s="5" t="str">
        <f ca="1">IF(K11=" "," ",SUM(IF(COLUMN(K7:CL7)&lt;(2+SUM('2、试卷（期末）'!K1)),K7:CL7,)))</f>
        <v> </v>
      </c>
      <c r="L13" s="5">
        <f ca="1">SUM(B13:K13)</f>
        <v>100</v>
      </c>
    </row>
    <row r="14" customFormat="1"/>
    <row r="15" spans="1:81">
      <c r="A15" s="11" t="s">
        <v>793</v>
      </c>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row>
    <row r="16" spans="1:81">
      <c r="A16" s="5"/>
      <c r="B16" s="6" t="s">
        <v>73</v>
      </c>
      <c r="C16" s="6" t="s">
        <v>76</v>
      </c>
      <c r="D16" s="6" t="s">
        <v>78</v>
      </c>
      <c r="E16" s="6" t="s">
        <v>80</v>
      </c>
      <c r="F16" s="6" t="s">
        <v>81</v>
      </c>
      <c r="G16" s="6" t="s">
        <v>85</v>
      </c>
      <c r="H16" s="6" t="s">
        <v>86</v>
      </c>
      <c r="I16" s="6" t="s">
        <v>87</v>
      </c>
      <c r="J16" s="6" t="s">
        <v>88</v>
      </c>
      <c r="K16" s="6" t="s">
        <v>89</v>
      </c>
      <c r="L16" s="6" t="s">
        <v>90</v>
      </c>
      <c r="M16" s="6" t="s">
        <v>91</v>
      </c>
      <c r="N16" s="6" t="s">
        <v>92</v>
      </c>
      <c r="O16" s="6" t="s">
        <v>93</v>
      </c>
      <c r="P16" s="6" t="s">
        <v>94</v>
      </c>
      <c r="Q16" s="6" t="s">
        <v>95</v>
      </c>
      <c r="R16" s="6" t="s">
        <v>96</v>
      </c>
      <c r="S16" s="6" t="s">
        <v>97</v>
      </c>
      <c r="T16" s="6" t="s">
        <v>98</v>
      </c>
      <c r="U16" s="6" t="s">
        <v>99</v>
      </c>
      <c r="V16" s="6" t="s">
        <v>100</v>
      </c>
      <c r="W16" s="6" t="s">
        <v>101</v>
      </c>
      <c r="X16" s="6" t="s">
        <v>102</v>
      </c>
      <c r="Y16" s="6" t="s">
        <v>103</v>
      </c>
      <c r="Z16" s="6" t="s">
        <v>104</v>
      </c>
      <c r="AA16" s="6" t="s">
        <v>105</v>
      </c>
      <c r="AB16" s="6" t="s">
        <v>106</v>
      </c>
      <c r="AC16" s="6" t="s">
        <v>107</v>
      </c>
      <c r="AD16" s="6" t="s">
        <v>108</v>
      </c>
      <c r="AE16" s="6" t="s">
        <v>109</v>
      </c>
      <c r="AF16" s="6" t="s">
        <v>110</v>
      </c>
      <c r="AG16" s="6" t="s">
        <v>111</v>
      </c>
      <c r="AH16" s="6" t="s">
        <v>112</v>
      </c>
      <c r="AI16" s="6" t="s">
        <v>113</v>
      </c>
      <c r="AJ16" s="6" t="s">
        <v>114</v>
      </c>
      <c r="AK16" s="6" t="s">
        <v>115</v>
      </c>
      <c r="AL16" s="6" t="s">
        <v>116</v>
      </c>
      <c r="AM16" s="6" t="s">
        <v>117</v>
      </c>
      <c r="AN16" s="6" t="s">
        <v>118</v>
      </c>
      <c r="AO16" s="6" t="s">
        <v>119</v>
      </c>
      <c r="AP16" s="6" t="s">
        <v>120</v>
      </c>
      <c r="AQ16" s="6" t="s">
        <v>121</v>
      </c>
      <c r="AR16" s="6" t="s">
        <v>122</v>
      </c>
      <c r="AS16" s="6" t="s">
        <v>123</v>
      </c>
      <c r="AT16" s="6" t="s">
        <v>124</v>
      </c>
      <c r="AU16" s="6" t="s">
        <v>125</v>
      </c>
      <c r="AV16" s="6" t="s">
        <v>126</v>
      </c>
      <c r="AW16" s="6" t="s">
        <v>127</v>
      </c>
      <c r="AX16" s="6" t="s">
        <v>128</v>
      </c>
      <c r="AY16" s="6" t="s">
        <v>129</v>
      </c>
      <c r="AZ16" s="6" t="s">
        <v>130</v>
      </c>
      <c r="BA16" s="6" t="s">
        <v>131</v>
      </c>
      <c r="BB16" s="6" t="s">
        <v>132</v>
      </c>
      <c r="BC16" s="6" t="s">
        <v>133</v>
      </c>
      <c r="BD16" s="6" t="s">
        <v>134</v>
      </c>
      <c r="BE16" s="6" t="s">
        <v>135</v>
      </c>
      <c r="BF16" s="6" t="s">
        <v>136</v>
      </c>
      <c r="BG16" s="6" t="s">
        <v>137</v>
      </c>
      <c r="BH16" s="6" t="s">
        <v>138</v>
      </c>
      <c r="BI16" s="6" t="s">
        <v>139</v>
      </c>
      <c r="BJ16" s="6" t="s">
        <v>140</v>
      </c>
      <c r="BK16" s="6" t="s">
        <v>141</v>
      </c>
      <c r="BL16" s="6" t="s">
        <v>142</v>
      </c>
      <c r="BM16" s="6" t="s">
        <v>143</v>
      </c>
      <c r="BN16" s="6" t="s">
        <v>144</v>
      </c>
      <c r="BO16" s="6" t="s">
        <v>145</v>
      </c>
      <c r="BP16" s="6" t="s">
        <v>146</v>
      </c>
      <c r="BQ16" s="6" t="s">
        <v>147</v>
      </c>
      <c r="BR16" s="6" t="s">
        <v>148</v>
      </c>
      <c r="BS16" s="6" t="s">
        <v>149</v>
      </c>
      <c r="BT16" s="6" t="s">
        <v>150</v>
      </c>
      <c r="BU16" s="6" t="s">
        <v>151</v>
      </c>
      <c r="BV16" s="6" t="s">
        <v>152</v>
      </c>
      <c r="BW16" s="6" t="s">
        <v>153</v>
      </c>
      <c r="BX16" s="6" t="s">
        <v>154</v>
      </c>
      <c r="BY16" s="6" t="s">
        <v>155</v>
      </c>
      <c r="BZ16" s="6" t="s">
        <v>156</v>
      </c>
      <c r="CA16" s="6" t="s">
        <v>157</v>
      </c>
      <c r="CB16" s="6" t="s">
        <v>158</v>
      </c>
      <c r="CC16" s="6" t="s">
        <v>159</v>
      </c>
    </row>
    <row r="17" spans="1:81">
      <c r="A17" s="7" t="s">
        <v>794</v>
      </c>
      <c r="B17" s="12">
        <f ca="1" t="shared" ref="B17:BM17" si="3">IF(B7=" "," ",1-B5/B7)</f>
        <v>0.05</v>
      </c>
      <c r="C17" s="12">
        <f ca="1" t="shared" si="3"/>
        <v>0.05</v>
      </c>
      <c r="D17" s="12">
        <f ca="1" t="shared" si="3"/>
        <v>0.05</v>
      </c>
      <c r="E17" s="12">
        <f ca="1" t="shared" si="3"/>
        <v>0.05</v>
      </c>
      <c r="F17" s="12">
        <f ca="1" t="shared" si="3"/>
        <v>0.05</v>
      </c>
      <c r="G17" s="12" t="str">
        <f ca="1" t="shared" si="3"/>
        <v> </v>
      </c>
      <c r="H17" s="12" t="str">
        <f ca="1" t="shared" si="3"/>
        <v> </v>
      </c>
      <c r="I17" s="12" t="str">
        <f ca="1" t="shared" si="3"/>
        <v> </v>
      </c>
      <c r="J17" s="12" t="str">
        <f ca="1" t="shared" si="3"/>
        <v> </v>
      </c>
      <c r="K17" s="12" t="str">
        <f ca="1" t="shared" si="3"/>
        <v> </v>
      </c>
      <c r="L17" s="12" t="str">
        <f ca="1" t="shared" si="3"/>
        <v> </v>
      </c>
      <c r="M17" s="12" t="str">
        <f ca="1" t="shared" si="3"/>
        <v> </v>
      </c>
      <c r="N17" s="12" t="str">
        <f ca="1" t="shared" si="3"/>
        <v> </v>
      </c>
      <c r="O17" s="12" t="str">
        <f ca="1" t="shared" si="3"/>
        <v> </v>
      </c>
      <c r="P17" s="12" t="str">
        <f ca="1" t="shared" si="3"/>
        <v> </v>
      </c>
      <c r="Q17" s="12" t="str">
        <f ca="1" t="shared" si="3"/>
        <v> </v>
      </c>
      <c r="R17" s="12" t="str">
        <f ca="1" t="shared" si="3"/>
        <v> </v>
      </c>
      <c r="S17" s="12" t="str">
        <f ca="1" t="shared" si="3"/>
        <v> </v>
      </c>
      <c r="T17" s="12" t="str">
        <f ca="1" t="shared" si="3"/>
        <v> </v>
      </c>
      <c r="U17" s="12" t="str">
        <f ca="1" t="shared" si="3"/>
        <v> </v>
      </c>
      <c r="V17" s="12" t="str">
        <f ca="1" t="shared" si="3"/>
        <v> </v>
      </c>
      <c r="W17" s="12" t="str">
        <f ca="1" t="shared" si="3"/>
        <v> </v>
      </c>
      <c r="X17" s="12" t="str">
        <f ca="1" t="shared" si="3"/>
        <v> </v>
      </c>
      <c r="Y17" s="12" t="str">
        <f ca="1" t="shared" si="3"/>
        <v> </v>
      </c>
      <c r="Z17" s="12" t="str">
        <f ca="1" t="shared" si="3"/>
        <v> </v>
      </c>
      <c r="AA17" s="12" t="str">
        <f ca="1" t="shared" si="3"/>
        <v> </v>
      </c>
      <c r="AB17" s="12" t="str">
        <f ca="1" t="shared" si="3"/>
        <v> </v>
      </c>
      <c r="AC17" s="12" t="str">
        <f ca="1" t="shared" si="3"/>
        <v> </v>
      </c>
      <c r="AD17" s="12" t="str">
        <f ca="1" t="shared" si="3"/>
        <v> </v>
      </c>
      <c r="AE17" s="12" t="str">
        <f ca="1" t="shared" si="3"/>
        <v> </v>
      </c>
      <c r="AF17" s="12" t="str">
        <f ca="1" t="shared" si="3"/>
        <v> </v>
      </c>
      <c r="AG17" s="12" t="str">
        <f ca="1" t="shared" si="3"/>
        <v> </v>
      </c>
      <c r="AH17" s="12" t="str">
        <f ca="1" t="shared" si="3"/>
        <v> </v>
      </c>
      <c r="AI17" s="12" t="str">
        <f ca="1" t="shared" si="3"/>
        <v> </v>
      </c>
      <c r="AJ17" s="12" t="str">
        <f ca="1" t="shared" si="3"/>
        <v> </v>
      </c>
      <c r="AK17" s="12" t="str">
        <f ca="1" t="shared" si="3"/>
        <v> </v>
      </c>
      <c r="AL17" s="12" t="str">
        <f ca="1" t="shared" si="3"/>
        <v> </v>
      </c>
      <c r="AM17" s="12" t="str">
        <f ca="1" t="shared" si="3"/>
        <v> </v>
      </c>
      <c r="AN17" s="12" t="str">
        <f ca="1" t="shared" si="3"/>
        <v> </v>
      </c>
      <c r="AO17" s="12" t="str">
        <f ca="1" t="shared" si="3"/>
        <v> </v>
      </c>
      <c r="AP17" s="12" t="str">
        <f ca="1" t="shared" si="3"/>
        <v> </v>
      </c>
      <c r="AQ17" s="12" t="str">
        <f ca="1" t="shared" si="3"/>
        <v> </v>
      </c>
      <c r="AR17" s="12" t="str">
        <f ca="1" t="shared" si="3"/>
        <v> </v>
      </c>
      <c r="AS17" s="12" t="str">
        <f ca="1" t="shared" si="3"/>
        <v> </v>
      </c>
      <c r="AT17" s="12" t="str">
        <f ca="1" t="shared" si="3"/>
        <v> </v>
      </c>
      <c r="AU17" s="12" t="str">
        <f ca="1" t="shared" si="3"/>
        <v> </v>
      </c>
      <c r="AV17" s="12" t="str">
        <f ca="1" t="shared" si="3"/>
        <v> </v>
      </c>
      <c r="AW17" s="12" t="str">
        <f ca="1" t="shared" si="3"/>
        <v> </v>
      </c>
      <c r="AX17" s="12" t="str">
        <f ca="1" t="shared" si="3"/>
        <v> </v>
      </c>
      <c r="AY17" s="12" t="str">
        <f ca="1" t="shared" si="3"/>
        <v> </v>
      </c>
      <c r="AZ17" s="12" t="str">
        <f ca="1" t="shared" si="3"/>
        <v> </v>
      </c>
      <c r="BA17" s="12" t="str">
        <f ca="1" t="shared" si="3"/>
        <v> </v>
      </c>
      <c r="BB17" s="12" t="str">
        <f ca="1" t="shared" si="3"/>
        <v> </v>
      </c>
      <c r="BC17" s="12" t="str">
        <f ca="1" t="shared" si="3"/>
        <v> </v>
      </c>
      <c r="BD17" s="12" t="str">
        <f ca="1" t="shared" si="3"/>
        <v> </v>
      </c>
      <c r="BE17" s="12" t="str">
        <f ca="1" t="shared" si="3"/>
        <v> </v>
      </c>
      <c r="BF17" s="12" t="str">
        <f ca="1" t="shared" si="3"/>
        <v> </v>
      </c>
      <c r="BG17" s="12" t="str">
        <f ca="1" t="shared" si="3"/>
        <v> </v>
      </c>
      <c r="BH17" s="12" t="str">
        <f ca="1" t="shared" si="3"/>
        <v> </v>
      </c>
      <c r="BI17" s="12" t="str">
        <f ca="1" t="shared" si="3"/>
        <v> </v>
      </c>
      <c r="BJ17" s="12" t="str">
        <f ca="1" t="shared" si="3"/>
        <v> </v>
      </c>
      <c r="BK17" s="12" t="str">
        <f ca="1" t="shared" si="3"/>
        <v> </v>
      </c>
      <c r="BL17" s="12" t="str">
        <f ca="1" t="shared" si="3"/>
        <v> </v>
      </c>
      <c r="BM17" s="12" t="str">
        <f ca="1" t="shared" si="3"/>
        <v> </v>
      </c>
      <c r="BN17" s="12" t="str">
        <f ca="1" t="shared" ref="BN17:CC17" si="4">IF(BN7=" "," ",1-BN5/BN7)</f>
        <v> </v>
      </c>
      <c r="BO17" s="12" t="str">
        <f ca="1" t="shared" si="4"/>
        <v> </v>
      </c>
      <c r="BP17" s="12" t="str">
        <f ca="1" t="shared" si="4"/>
        <v> </v>
      </c>
      <c r="BQ17" s="12" t="str">
        <f ca="1" t="shared" si="4"/>
        <v> </v>
      </c>
      <c r="BR17" s="12" t="str">
        <f ca="1" t="shared" si="4"/>
        <v> </v>
      </c>
      <c r="BS17" s="12" t="str">
        <f ca="1" t="shared" si="4"/>
        <v> </v>
      </c>
      <c r="BT17" s="12" t="str">
        <f ca="1" t="shared" si="4"/>
        <v> </v>
      </c>
      <c r="BU17" s="12" t="str">
        <f ca="1" t="shared" si="4"/>
        <v> </v>
      </c>
      <c r="BV17" s="12" t="str">
        <f ca="1" t="shared" si="4"/>
        <v> </v>
      </c>
      <c r="BW17" s="12" t="str">
        <f ca="1" t="shared" si="4"/>
        <v> </v>
      </c>
      <c r="BX17" s="12" t="str">
        <f ca="1" t="shared" si="4"/>
        <v> </v>
      </c>
      <c r="BY17" s="12" t="str">
        <f ca="1" t="shared" si="4"/>
        <v> </v>
      </c>
      <c r="BZ17" s="12" t="str">
        <f ca="1" t="shared" si="4"/>
        <v> </v>
      </c>
      <c r="CA17" s="12" t="str">
        <f ca="1" t="shared" si="4"/>
        <v> </v>
      </c>
      <c r="CB17" s="12" t="str">
        <f ca="1" t="shared" si="4"/>
        <v> </v>
      </c>
      <c r="CC17" s="12" t="str">
        <f ca="1" t="shared" si="4"/>
        <v> </v>
      </c>
    </row>
    <row r="18" spans="1:81">
      <c r="A18" s="7" t="s">
        <v>795</v>
      </c>
      <c r="B18" s="12">
        <f ca="1">IF(B7=" "," ",(AVERAGEIF(INDIRECT(ADDRESS(2,COLUMN(B7)+1,,,"3、期末成绩")):INDIRECT(ADDRESS(($B$1+1),COLUMN(B7)+1,,,"3、期末成绩")),"&gt;="&amp;PERCENTILE(INDIRECT(ADDRESS(2,COLUMN(B7)+1,,,"3、期末成绩")):INDIRECT(ADDRESS(($B$1+1),COLUMN(B7)+1,,,"3、期末成绩")),0.73))-AVERAGEIF(INDIRECT(ADDRESS(2,COLUMN(B7)+1,,,"3、期末成绩")):INDIRECT(ADDRESS(($B$1+1),COLUMN(B7)+1,,,"3、期末成绩")),"&lt;="&amp;PERCENTILE(INDIRECT(ADDRESS(2,COLUMN(B7)+1,,,"3、期末成绩")):INDIRECT(ADDRESS(($B$1+1),COLUMN(B7)+1,,,"3、期末成绩")),0.27)))/期末试卷分析表!B7)</f>
        <v>0</v>
      </c>
      <c r="C18" s="12">
        <f ca="1">IF(C7=" "," ",(AVERAGEIF(INDIRECT(ADDRESS(2,COLUMN(C7)+1,,,"3、期末成绩")):INDIRECT(ADDRESS(($B$1+1),COLUMN(C7)+1,,,"3、期末成绩")),"&gt;="&amp;PERCENTILE(INDIRECT(ADDRESS(2,COLUMN(C7)+1,,,"3、期末成绩")):INDIRECT(ADDRESS(($B$1+1),COLUMN(C7)+1,,,"3、期末成绩")),0.73))-AVERAGEIF(INDIRECT(ADDRESS(2,COLUMN(C7)+1,,,"3、期末成绩")):INDIRECT(ADDRESS(($B$1+1),COLUMN(C7)+1,,,"3、期末成绩")),"&lt;="&amp;PERCENTILE(INDIRECT(ADDRESS(2,COLUMN(C7)+1,,,"3、期末成绩")):INDIRECT(ADDRESS(($B$1+1),COLUMN(C7)+1,,,"3、期末成绩")),0.27)))/期末试卷分析表!C7)</f>
        <v>0</v>
      </c>
      <c r="D18" s="12">
        <f ca="1">IF(D7=" "," ",(AVERAGEIF(INDIRECT(ADDRESS(2,COLUMN(D7)+1,,,"3、期末成绩")):INDIRECT(ADDRESS(($B$1+1),COLUMN(D7)+1,,,"3、期末成绩")),"&gt;="&amp;PERCENTILE(INDIRECT(ADDRESS(2,COLUMN(D7)+1,,,"3、期末成绩")):INDIRECT(ADDRESS(($B$1+1),COLUMN(D7)+1,,,"3、期末成绩")),0.73))-AVERAGEIF(INDIRECT(ADDRESS(2,COLUMN(D7)+1,,,"3、期末成绩")):INDIRECT(ADDRESS(($B$1+1),COLUMN(D7)+1,,,"3、期末成绩")),"&lt;="&amp;PERCENTILE(INDIRECT(ADDRESS(2,COLUMN(D7)+1,,,"3、期末成绩")):INDIRECT(ADDRESS(($B$1+1),COLUMN(D7)+1,,,"3、期末成绩")),0.27)))/期末试卷分析表!D7)</f>
        <v>0</v>
      </c>
      <c r="E18" s="12">
        <f ca="1">IF(E7=" "," ",(AVERAGEIF(INDIRECT(ADDRESS(2,COLUMN(E7)+1,,,"3、期末成绩")):INDIRECT(ADDRESS(($B$1+1),COLUMN(E7)+1,,,"3、期末成绩")),"&gt;="&amp;PERCENTILE(INDIRECT(ADDRESS(2,COLUMN(E7)+1,,,"3、期末成绩")):INDIRECT(ADDRESS(($B$1+1),COLUMN(E7)+1,,,"3、期末成绩")),0.73))-AVERAGEIF(INDIRECT(ADDRESS(2,COLUMN(E7)+1,,,"3、期末成绩")):INDIRECT(ADDRESS(($B$1+1),COLUMN(E7)+1,,,"3、期末成绩")),"&lt;="&amp;PERCENTILE(INDIRECT(ADDRESS(2,COLUMN(E7)+1,,,"3、期末成绩")):INDIRECT(ADDRESS(($B$1+1),COLUMN(E7)+1,,,"3、期末成绩")),0.27)))/期末试卷分析表!E7)</f>
        <v>0</v>
      </c>
      <c r="F18" s="12">
        <f ca="1">IF(F7=" "," ",(AVERAGEIF(INDIRECT(ADDRESS(2,COLUMN(F7)+1,,,"3、期末成绩")):INDIRECT(ADDRESS(($B$1+1),COLUMN(F7)+1,,,"3、期末成绩")),"&gt;="&amp;PERCENTILE(INDIRECT(ADDRESS(2,COLUMN(F7)+1,,,"3、期末成绩")):INDIRECT(ADDRESS(($B$1+1),COLUMN(F7)+1,,,"3、期末成绩")),0.73))-AVERAGEIF(INDIRECT(ADDRESS(2,COLUMN(F7)+1,,,"3、期末成绩")):INDIRECT(ADDRESS(($B$1+1),COLUMN(F7)+1,,,"3、期末成绩")),"&lt;="&amp;PERCENTILE(INDIRECT(ADDRESS(2,COLUMN(F7)+1,,,"3、期末成绩")):INDIRECT(ADDRESS(($B$1+1),COLUMN(F7)+1,,,"3、期末成绩")),0.27)))/期末试卷分析表!F7)</f>
        <v>0</v>
      </c>
      <c r="G18" s="12" t="str">
        <f ca="1">IF(G7=" "," ",(AVERAGEIF(INDIRECT(ADDRESS(2,COLUMN(G7)+1,,,"3、期末成绩")):INDIRECT(ADDRESS(($B$1+1),COLUMN(G7)+1,,,"3、期末成绩")),"&gt;="&amp;PERCENTILE(INDIRECT(ADDRESS(2,COLUMN(G7)+1,,,"3、期末成绩")):INDIRECT(ADDRESS(($B$1+1),COLUMN(G7)+1,,,"3、期末成绩")),0.73))-AVERAGEIF(INDIRECT(ADDRESS(2,COLUMN(G7)+1,,,"3、期末成绩")):INDIRECT(ADDRESS(($B$1+1),COLUMN(G7)+1,,,"3、期末成绩")),"&lt;="&amp;PERCENTILE(INDIRECT(ADDRESS(2,COLUMN(G7)+1,,,"3、期末成绩")):INDIRECT(ADDRESS(($B$1+1),COLUMN(G7)+1,,,"3、期末成绩")),0.27)))/期末试卷分析表!G7)</f>
        <v> </v>
      </c>
      <c r="H18" s="12" t="str">
        <f ca="1">IF(H7=" "," ",(AVERAGEIF(INDIRECT(ADDRESS(2,COLUMN(H7)+1,,,"3、期末成绩")):INDIRECT(ADDRESS(($B$1+1),COLUMN(H7)+1,,,"3、期末成绩")),"&gt;="&amp;PERCENTILE(INDIRECT(ADDRESS(2,COLUMN(H7)+1,,,"3、期末成绩")):INDIRECT(ADDRESS(($B$1+1),COLUMN(H7)+1,,,"3、期末成绩")),0.73))-AVERAGEIF(INDIRECT(ADDRESS(2,COLUMN(H7)+1,,,"3、期末成绩")):INDIRECT(ADDRESS(($B$1+1),COLUMN(H7)+1,,,"3、期末成绩")),"&lt;="&amp;PERCENTILE(INDIRECT(ADDRESS(2,COLUMN(H7)+1,,,"3、期末成绩")):INDIRECT(ADDRESS(($B$1+1),COLUMN(H7)+1,,,"3、期末成绩")),0.27)))/期末试卷分析表!H7)</f>
        <v> </v>
      </c>
      <c r="I18" s="12" t="str">
        <f ca="1">IF(I7=" "," ",(AVERAGEIF(INDIRECT(ADDRESS(2,COLUMN(I7)+1,,,"4、期末试卷原始成绩表")):INDIRECT(ADDRESS(($B$1+1),COLUMN(I7)+1,,,"4、期末试卷原始成绩表")),"&gt;="&amp;PERCENTILE(INDIRECT(ADDRESS(2,COLUMN(I7)+1,,,"4、期末试卷原始成绩表")):INDIRECT(ADDRESS(($B$1+1),COLUMN(I7)+1,,,"4、期末试卷原始成绩表")),0.73))-AVERAGEIF(INDIRECT(ADDRESS(2,COLUMN(I7)+1,,,"4、期末试卷原始成绩表")):INDIRECT(ADDRESS(($B$1+1),COLUMN(I7)+1,,,"4、期末试卷原始成绩表")),"&lt;="&amp;PERCENTILE(INDIRECT(ADDRESS(2,COLUMN(I7)+1,,,"4、期末试卷原始成绩表")):INDIRECT(ADDRESS(($B$1+1),COLUMN(I7)+1,,,"4、期末试卷原始成绩表")),0.27)))/期末试卷分析表!I7)</f>
        <v> </v>
      </c>
      <c r="J18" s="12" t="str">
        <f ca="1">IF(J7=" "," ",(AVERAGEIF(INDIRECT(ADDRESS(2,COLUMN(J7)+1,,,"4、期末试卷原始成绩表")):INDIRECT(ADDRESS(($B$1+1),COLUMN(J7)+1,,,"4、期末试卷原始成绩表")),"&gt;="&amp;PERCENTILE(INDIRECT(ADDRESS(2,COLUMN(J7)+1,,,"4、期末试卷原始成绩表")):INDIRECT(ADDRESS(($B$1+1),COLUMN(J7)+1,,,"4、期末试卷原始成绩表")),0.73))-AVERAGEIF(INDIRECT(ADDRESS(2,COLUMN(J7)+1,,,"4、期末试卷原始成绩表")):INDIRECT(ADDRESS(($B$1+1),COLUMN(J7)+1,,,"4、期末试卷原始成绩表")),"&lt;="&amp;PERCENTILE(INDIRECT(ADDRESS(2,COLUMN(J7)+1,,,"4、期末试卷原始成绩表")):INDIRECT(ADDRESS(($B$1+1),COLUMN(J7)+1,,,"4、期末试卷原始成绩表")),0.27)))/期末试卷分析表!J7)</f>
        <v> </v>
      </c>
      <c r="K18" s="12" t="str">
        <f ca="1">IF(K7=" "," ",(AVERAGEIF(INDIRECT(ADDRESS(2,COLUMN(K7)+1,,,"4、期末试卷原始成绩表")):INDIRECT(ADDRESS(($B$1+1),COLUMN(K7)+1,,,"4、期末试卷原始成绩表")),"&gt;="&amp;PERCENTILE(INDIRECT(ADDRESS(2,COLUMN(K7)+1,,,"4、期末试卷原始成绩表")):INDIRECT(ADDRESS(($B$1+1),COLUMN(K7)+1,,,"4、期末试卷原始成绩表")),0.73))-AVERAGEIF(INDIRECT(ADDRESS(2,COLUMN(K7)+1,,,"4、期末试卷原始成绩表")):INDIRECT(ADDRESS(($B$1+1),COLUMN(K7)+1,,,"4、期末试卷原始成绩表")),"&lt;="&amp;PERCENTILE(INDIRECT(ADDRESS(2,COLUMN(K7)+1,,,"4、期末试卷原始成绩表")):INDIRECT(ADDRESS(($B$1+1),COLUMN(K7)+1,,,"4、期末试卷原始成绩表")),0.27)))/期末试卷分析表!K7)</f>
        <v> </v>
      </c>
      <c r="L18" s="12" t="str">
        <f ca="1">IF(L7=" "," ",(AVERAGEIF(INDIRECT(ADDRESS(2,COLUMN(L7)+1,,,"4、期末试卷原始成绩表")):INDIRECT(ADDRESS(($B$1+1),COLUMN(L7)+1,,,"4、期末试卷原始成绩表")),"&gt;="&amp;PERCENTILE(INDIRECT(ADDRESS(2,COLUMN(L7)+1,,,"4、期末试卷原始成绩表")):INDIRECT(ADDRESS(($B$1+1),COLUMN(L7)+1,,,"4、期末试卷原始成绩表")),0.73))-AVERAGEIF(INDIRECT(ADDRESS(2,COLUMN(L7)+1,,,"4、期末试卷原始成绩表")):INDIRECT(ADDRESS(($B$1+1),COLUMN(L7)+1,,,"4、期末试卷原始成绩表")),"&lt;="&amp;PERCENTILE(INDIRECT(ADDRESS(2,COLUMN(L7)+1,,,"4、期末试卷原始成绩表")):INDIRECT(ADDRESS(($B$1+1),COLUMN(L7)+1,,,"4、期末试卷原始成绩表")),0.27)))/期末试卷分析表!L7)</f>
        <v> </v>
      </c>
      <c r="M18" s="12" t="str">
        <f ca="1">IF(M7=" "," ",(AVERAGEIF(INDIRECT(ADDRESS(2,COLUMN(M7)+1,,,"4、期末试卷原始成绩表")):INDIRECT(ADDRESS(($B$1+1),COLUMN(M7)+1,,,"4、期末试卷原始成绩表")),"&gt;="&amp;PERCENTILE(INDIRECT(ADDRESS(2,COLUMN(M7)+1,,,"4、期末试卷原始成绩表")):INDIRECT(ADDRESS(($B$1+1),COLUMN(M7)+1,,,"4、期末试卷原始成绩表")),0.73))-AVERAGEIF(INDIRECT(ADDRESS(2,COLUMN(M7)+1,,,"4、期末试卷原始成绩表")):INDIRECT(ADDRESS(($B$1+1),COLUMN(M7)+1,,,"4、期末试卷原始成绩表")),"&lt;="&amp;PERCENTILE(INDIRECT(ADDRESS(2,COLUMN(M7)+1,,,"4、期末试卷原始成绩表")):INDIRECT(ADDRESS(($B$1+1),COLUMN(M7)+1,,,"4、期末试卷原始成绩表")),0.27)))/期末试卷分析表!M7)</f>
        <v> </v>
      </c>
      <c r="N18" s="12" t="str">
        <f ca="1">IF(N7=" "," ",(AVERAGEIF(INDIRECT(ADDRESS(2,COLUMN(N7)+1,,,"4、期末试卷原始成绩表")):INDIRECT(ADDRESS(($B$1+1),COLUMN(N7)+1,,,"4、期末试卷原始成绩表")),"&gt;="&amp;PERCENTILE(INDIRECT(ADDRESS(2,COLUMN(N7)+1,,,"4、期末试卷原始成绩表")):INDIRECT(ADDRESS(($B$1+1),COLUMN(N7)+1,,,"4、期末试卷原始成绩表")),0.73))-AVERAGEIF(INDIRECT(ADDRESS(2,COLUMN(N7)+1,,,"4、期末试卷原始成绩表")):INDIRECT(ADDRESS(($B$1+1),COLUMN(N7)+1,,,"4、期末试卷原始成绩表")),"&lt;="&amp;PERCENTILE(INDIRECT(ADDRESS(2,COLUMN(N7)+1,,,"4、期末试卷原始成绩表")):INDIRECT(ADDRESS(($B$1+1),COLUMN(N7)+1,,,"4、期末试卷原始成绩表")),0.27)))/期末试卷分析表!N7)</f>
        <v> </v>
      </c>
      <c r="O18" s="12" t="str">
        <f ca="1">IF(O7=" "," ",(AVERAGEIF(INDIRECT(ADDRESS(2,COLUMN(O7)+1,,,"4、期末试卷原始成绩表")):INDIRECT(ADDRESS(($B$1+1),COLUMN(O7)+1,,,"4、期末试卷原始成绩表")),"&gt;="&amp;PERCENTILE(INDIRECT(ADDRESS(2,COLUMN(O7)+1,,,"4、期末试卷原始成绩表")):INDIRECT(ADDRESS(($B$1+1),COLUMN(O7)+1,,,"4、期末试卷原始成绩表")),0.73))-AVERAGEIF(INDIRECT(ADDRESS(2,COLUMN(O7)+1,,,"4、期末试卷原始成绩表")):INDIRECT(ADDRESS(($B$1+1),COLUMN(O7)+1,,,"4、期末试卷原始成绩表")),"&lt;="&amp;PERCENTILE(INDIRECT(ADDRESS(2,COLUMN(O7)+1,,,"4、期末试卷原始成绩表")):INDIRECT(ADDRESS(($B$1+1),COLUMN(O7)+1,,,"4、期末试卷原始成绩表")),0.27)))/期末试卷分析表!O7)</f>
        <v> </v>
      </c>
      <c r="P18" s="12" t="str">
        <f ca="1">IF(P7=" "," ",(AVERAGEIF(INDIRECT(ADDRESS(2,COLUMN(P7)+1,,,"4、期末试卷原始成绩表")):INDIRECT(ADDRESS(($B$1+1),COLUMN(P7)+1,,,"4、期末试卷原始成绩表")),"&gt;="&amp;PERCENTILE(INDIRECT(ADDRESS(2,COLUMN(P7)+1,,,"4、期末试卷原始成绩表")):INDIRECT(ADDRESS(($B$1+1),COLUMN(P7)+1,,,"4、期末试卷原始成绩表")),0.73))-AVERAGEIF(INDIRECT(ADDRESS(2,COLUMN(P7)+1,,,"4、期末试卷原始成绩表")):INDIRECT(ADDRESS(($B$1+1),COLUMN(P7)+1,,,"4、期末试卷原始成绩表")),"&lt;="&amp;PERCENTILE(INDIRECT(ADDRESS(2,COLUMN(P7)+1,,,"4、期末试卷原始成绩表")):INDIRECT(ADDRESS(($B$1+1),COLUMN(P7)+1,,,"4、期末试卷原始成绩表")),0.27)))/期末试卷分析表!P7)</f>
        <v> </v>
      </c>
      <c r="Q18" s="12" t="str">
        <f ca="1">IF(Q7=" "," ",(AVERAGEIF(INDIRECT(ADDRESS(2,COLUMN(Q7)+1,,,"4、期末试卷原始成绩表")):INDIRECT(ADDRESS(($B$1+1),COLUMN(Q7)+1,,,"4、期末试卷原始成绩表")),"&gt;="&amp;PERCENTILE(INDIRECT(ADDRESS(2,COLUMN(Q7)+1,,,"4、期末试卷原始成绩表")):INDIRECT(ADDRESS(($B$1+1),COLUMN(Q7)+1,,,"4、期末试卷原始成绩表")),0.73))-AVERAGEIF(INDIRECT(ADDRESS(2,COLUMN(Q7)+1,,,"4、期末试卷原始成绩表")):INDIRECT(ADDRESS(($B$1+1),COLUMN(Q7)+1,,,"4、期末试卷原始成绩表")),"&lt;="&amp;PERCENTILE(INDIRECT(ADDRESS(2,COLUMN(Q7)+1,,,"4、期末试卷原始成绩表")):INDIRECT(ADDRESS(($B$1+1),COLUMN(Q7)+1,,,"4、期末试卷原始成绩表")),0.27)))/期末试卷分析表!Q7)</f>
        <v> </v>
      </c>
      <c r="R18" s="12" t="str">
        <f ca="1">IF(R7=" "," ",(AVERAGEIF(INDIRECT(ADDRESS(2,COLUMN(R7)+1,,,"4、期末试卷原始成绩表")):INDIRECT(ADDRESS(($B$1+1),COLUMN(R7)+1,,,"4、期末试卷原始成绩表")),"&gt;="&amp;PERCENTILE(INDIRECT(ADDRESS(2,COLUMN(R7)+1,,,"4、期末试卷原始成绩表")):INDIRECT(ADDRESS(($B$1+1),COLUMN(R7)+1,,,"4、期末试卷原始成绩表")),0.73))-AVERAGEIF(INDIRECT(ADDRESS(2,COLUMN(R7)+1,,,"4、期末试卷原始成绩表")):INDIRECT(ADDRESS(($B$1+1),COLUMN(R7)+1,,,"4、期末试卷原始成绩表")),"&lt;="&amp;PERCENTILE(INDIRECT(ADDRESS(2,COLUMN(R7)+1,,,"4、期末试卷原始成绩表")):INDIRECT(ADDRESS(($B$1+1),COLUMN(R7)+1,,,"4、期末试卷原始成绩表")),0.27)))/期末试卷分析表!R7)</f>
        <v> </v>
      </c>
      <c r="S18" s="12" t="str">
        <f ca="1">IF(S7=" "," ",(AVERAGEIF(INDIRECT(ADDRESS(2,COLUMN(S7)+1,,,"4、期末试卷原始成绩表")):INDIRECT(ADDRESS(($B$1+1),COLUMN(S7)+1,,,"4、期末试卷原始成绩表")),"&gt;="&amp;PERCENTILE(INDIRECT(ADDRESS(2,COLUMN(S7)+1,,,"4、期末试卷原始成绩表")):INDIRECT(ADDRESS(($B$1+1),COLUMN(S7)+1,,,"4、期末试卷原始成绩表")),0.73))-AVERAGEIF(INDIRECT(ADDRESS(2,COLUMN(S7)+1,,,"4、期末试卷原始成绩表")):INDIRECT(ADDRESS(($B$1+1),COLUMN(S7)+1,,,"4、期末试卷原始成绩表")),"&lt;="&amp;PERCENTILE(INDIRECT(ADDRESS(2,COLUMN(S7)+1,,,"4、期末试卷原始成绩表")):INDIRECT(ADDRESS(($B$1+1),COLUMN(S7)+1,,,"4、期末试卷原始成绩表")),0.27)))/期末试卷分析表!S7)</f>
        <v> </v>
      </c>
      <c r="T18" s="12" t="str">
        <f ca="1">IF(T7=" "," ",(AVERAGEIF(INDIRECT(ADDRESS(2,COLUMN(T7)+1,,,"4、期末试卷原始成绩表")):INDIRECT(ADDRESS(($B$1+1),COLUMN(T7)+1,,,"4、期末试卷原始成绩表")),"&gt;="&amp;PERCENTILE(INDIRECT(ADDRESS(2,COLUMN(T7)+1,,,"4、期末试卷原始成绩表")):INDIRECT(ADDRESS(($B$1+1),COLUMN(T7)+1,,,"4、期末试卷原始成绩表")),0.73))-AVERAGEIF(INDIRECT(ADDRESS(2,COLUMN(T7)+1,,,"4、期末试卷原始成绩表")):INDIRECT(ADDRESS(($B$1+1),COLUMN(T7)+1,,,"4、期末试卷原始成绩表")),"&lt;="&amp;PERCENTILE(INDIRECT(ADDRESS(2,COLUMN(T7)+1,,,"4、期末试卷原始成绩表")):INDIRECT(ADDRESS(($B$1+1),COLUMN(T7)+1,,,"4、期末试卷原始成绩表")),0.27)))/期末试卷分析表!T7)</f>
        <v> </v>
      </c>
      <c r="U18" s="12" t="str">
        <f ca="1">IF(U7=" "," ",(AVERAGEIF(INDIRECT(ADDRESS(2,COLUMN(U7)+1,,,"4、期末试卷原始成绩表")):INDIRECT(ADDRESS(($B$1+1),COLUMN(U7)+1,,,"4、期末试卷原始成绩表")),"&gt;="&amp;PERCENTILE(INDIRECT(ADDRESS(2,COLUMN(U7)+1,,,"4、期末试卷原始成绩表")):INDIRECT(ADDRESS(($B$1+1),COLUMN(U7)+1,,,"4、期末试卷原始成绩表")),0.73))-AVERAGEIF(INDIRECT(ADDRESS(2,COLUMN(U7)+1,,,"4、期末试卷原始成绩表")):INDIRECT(ADDRESS(($B$1+1),COLUMN(U7)+1,,,"4、期末试卷原始成绩表")),"&lt;="&amp;PERCENTILE(INDIRECT(ADDRESS(2,COLUMN(U7)+1,,,"4、期末试卷原始成绩表")):INDIRECT(ADDRESS(($B$1+1),COLUMN(U7)+1,,,"4、期末试卷原始成绩表")),0.27)))/期末试卷分析表!U7)</f>
        <v> </v>
      </c>
      <c r="V18" s="12" t="str">
        <f ca="1">IF(V7=" "," ",(AVERAGEIF(INDIRECT(ADDRESS(2,COLUMN(V7)+1,,,"4、期末试卷原始成绩表")):INDIRECT(ADDRESS(($B$1+1),COLUMN(V7)+1,,,"4、期末试卷原始成绩表")),"&gt;="&amp;PERCENTILE(INDIRECT(ADDRESS(2,COLUMN(V7)+1,,,"4、期末试卷原始成绩表")):INDIRECT(ADDRESS(($B$1+1),COLUMN(V7)+1,,,"4、期末试卷原始成绩表")),0.73))-AVERAGEIF(INDIRECT(ADDRESS(2,COLUMN(V7)+1,,,"4、期末试卷原始成绩表")):INDIRECT(ADDRESS(($B$1+1),COLUMN(V7)+1,,,"4、期末试卷原始成绩表")),"&lt;="&amp;PERCENTILE(INDIRECT(ADDRESS(2,COLUMN(V7)+1,,,"4、期末试卷原始成绩表")):INDIRECT(ADDRESS(($B$1+1),COLUMN(V7)+1,,,"4、期末试卷原始成绩表")),0.27)))/期末试卷分析表!V7)</f>
        <v> </v>
      </c>
      <c r="W18" s="12" t="str">
        <f ca="1">IF(W7=" "," ",(AVERAGEIF(INDIRECT(ADDRESS(2,COLUMN(W7)+1,,,"4、期末试卷原始成绩表")):INDIRECT(ADDRESS(($B$1+1),COLUMN(W7)+1,,,"4、期末试卷原始成绩表")),"&gt;="&amp;PERCENTILE(INDIRECT(ADDRESS(2,COLUMN(W7)+1,,,"4、期末试卷原始成绩表")):INDIRECT(ADDRESS(($B$1+1),COLUMN(W7)+1,,,"4、期末试卷原始成绩表")),0.73))-AVERAGEIF(INDIRECT(ADDRESS(2,COLUMN(W7)+1,,,"4、期末试卷原始成绩表")):INDIRECT(ADDRESS(($B$1+1),COLUMN(W7)+1,,,"4、期末试卷原始成绩表")),"&lt;="&amp;PERCENTILE(INDIRECT(ADDRESS(2,COLUMN(W7)+1,,,"4、期末试卷原始成绩表")):INDIRECT(ADDRESS(($B$1+1),COLUMN(W7)+1,,,"4、期末试卷原始成绩表")),0.27)))/期末试卷分析表!W7)</f>
        <v> </v>
      </c>
      <c r="X18" s="12" t="str">
        <f ca="1">IF(X7=" "," ",(AVERAGEIF(INDIRECT(ADDRESS(2,COLUMN(X7)+1,,,"4、期末试卷原始成绩表")):INDIRECT(ADDRESS(($B$1+1),COLUMN(X7)+1,,,"4、期末试卷原始成绩表")),"&gt;="&amp;PERCENTILE(INDIRECT(ADDRESS(2,COLUMN(X7)+1,,,"4、期末试卷原始成绩表")):INDIRECT(ADDRESS(($B$1+1),COLUMN(X7)+1,,,"4、期末试卷原始成绩表")),0.73))-AVERAGEIF(INDIRECT(ADDRESS(2,COLUMN(X7)+1,,,"4、期末试卷原始成绩表")):INDIRECT(ADDRESS(($B$1+1),COLUMN(X7)+1,,,"4、期末试卷原始成绩表")),"&lt;="&amp;PERCENTILE(INDIRECT(ADDRESS(2,COLUMN(X7)+1,,,"4、期末试卷原始成绩表")):INDIRECT(ADDRESS(($B$1+1),COLUMN(X7)+1,,,"4、期末试卷原始成绩表")),0.27)))/期末试卷分析表!X7)</f>
        <v> </v>
      </c>
      <c r="Y18" s="12" t="str">
        <f ca="1">IF(Y7=" "," ",(AVERAGEIF(INDIRECT(ADDRESS(2,COLUMN(Y7)+1,,,"4、期末试卷原始成绩表")):INDIRECT(ADDRESS(($B$1+1),COLUMN(Y7)+1,,,"4、期末试卷原始成绩表")),"&gt;="&amp;PERCENTILE(INDIRECT(ADDRESS(2,COLUMN(Y7)+1,,,"4、期末试卷原始成绩表")):INDIRECT(ADDRESS(($B$1+1),COLUMN(Y7)+1,,,"4、期末试卷原始成绩表")),0.73))-AVERAGEIF(INDIRECT(ADDRESS(2,COLUMN(Y7)+1,,,"4、期末试卷原始成绩表")):INDIRECT(ADDRESS(($B$1+1),COLUMN(Y7)+1,,,"4、期末试卷原始成绩表")),"&lt;="&amp;PERCENTILE(INDIRECT(ADDRESS(2,COLUMN(Y7)+1,,,"4、期末试卷原始成绩表")):INDIRECT(ADDRESS(($B$1+1),COLUMN(Y7)+1,,,"4、期末试卷原始成绩表")),0.27)))/期末试卷分析表!Y7)</f>
        <v> </v>
      </c>
      <c r="Z18" s="12" t="str">
        <f ca="1">IF(Z7=" "," ",(AVERAGEIF(INDIRECT(ADDRESS(2,COLUMN(Z7)+1,,,"4、期末试卷原始成绩表")):INDIRECT(ADDRESS(($B$1+1),COLUMN(Z7)+1,,,"4、期末试卷原始成绩表")),"&gt;="&amp;PERCENTILE(INDIRECT(ADDRESS(2,COLUMN(Z7)+1,,,"4、期末试卷原始成绩表")):INDIRECT(ADDRESS(($B$1+1),COLUMN(Z7)+1,,,"4、期末试卷原始成绩表")),0.73))-AVERAGEIF(INDIRECT(ADDRESS(2,COLUMN(Z7)+1,,,"4、期末试卷原始成绩表")):INDIRECT(ADDRESS(($B$1+1),COLUMN(Z7)+1,,,"4、期末试卷原始成绩表")),"&lt;="&amp;PERCENTILE(INDIRECT(ADDRESS(2,COLUMN(Z7)+1,,,"4、期末试卷原始成绩表")):INDIRECT(ADDRESS(($B$1+1),COLUMN(Z7)+1,,,"4、期末试卷原始成绩表")),0.27)))/期末试卷分析表!Z7)</f>
        <v> </v>
      </c>
      <c r="AA18" s="12" t="str">
        <f ca="1">IF(AA7=" "," ",(AVERAGEIF(INDIRECT(ADDRESS(2,COLUMN(AA7)+1,,,"4、期末试卷原始成绩表")):INDIRECT(ADDRESS(($B$1+1),COLUMN(AA7)+1,,,"4、期末试卷原始成绩表")),"&gt;="&amp;PERCENTILE(INDIRECT(ADDRESS(2,COLUMN(AA7)+1,,,"4、期末试卷原始成绩表")):INDIRECT(ADDRESS(($B$1+1),COLUMN(AA7)+1,,,"4、期末试卷原始成绩表")),0.73))-AVERAGEIF(INDIRECT(ADDRESS(2,COLUMN(AA7)+1,,,"4、期末试卷原始成绩表")):INDIRECT(ADDRESS(($B$1+1),COLUMN(AA7)+1,,,"4、期末试卷原始成绩表")),"&lt;="&amp;PERCENTILE(INDIRECT(ADDRESS(2,COLUMN(AA7)+1,,,"4、期末试卷原始成绩表")):INDIRECT(ADDRESS(($B$1+1),COLUMN(AA7)+1,,,"4、期末试卷原始成绩表")),0.27)))/期末试卷分析表!AA7)</f>
        <v> </v>
      </c>
      <c r="AB18" s="12" t="str">
        <f ca="1">IF(AB7=" "," ",(AVERAGEIF(INDIRECT(ADDRESS(2,COLUMN(AB7)+1,,,"4、期末试卷原始成绩表")):INDIRECT(ADDRESS(($B$1+1),COLUMN(AB7)+1,,,"4、期末试卷原始成绩表")),"&gt;="&amp;PERCENTILE(INDIRECT(ADDRESS(2,COLUMN(AB7)+1,,,"4、期末试卷原始成绩表")):INDIRECT(ADDRESS(($B$1+1),COLUMN(AB7)+1,,,"4、期末试卷原始成绩表")),0.73))-AVERAGEIF(INDIRECT(ADDRESS(2,COLUMN(AB7)+1,,,"4、期末试卷原始成绩表")):INDIRECT(ADDRESS(($B$1+1),COLUMN(AB7)+1,,,"4、期末试卷原始成绩表")),"&lt;="&amp;PERCENTILE(INDIRECT(ADDRESS(2,COLUMN(AB7)+1,,,"4、期末试卷原始成绩表")):INDIRECT(ADDRESS(($B$1+1),COLUMN(AB7)+1,,,"4、期末试卷原始成绩表")),0.27)))/期末试卷分析表!AB7)</f>
        <v> </v>
      </c>
      <c r="AC18" s="12" t="str">
        <f ca="1">IF(AC7=" "," ",(AVERAGEIF(INDIRECT(ADDRESS(2,COLUMN(AC7)+1,,,"4、期末试卷原始成绩表")):INDIRECT(ADDRESS(($B$1+1),COLUMN(AC7)+1,,,"4、期末试卷原始成绩表")),"&gt;="&amp;PERCENTILE(INDIRECT(ADDRESS(2,COLUMN(AC7)+1,,,"4、期末试卷原始成绩表")):INDIRECT(ADDRESS(($B$1+1),COLUMN(AC7)+1,,,"4、期末试卷原始成绩表")),0.73))-AVERAGEIF(INDIRECT(ADDRESS(2,COLUMN(AC7)+1,,,"4、期末试卷原始成绩表")):INDIRECT(ADDRESS(($B$1+1),COLUMN(AC7)+1,,,"4、期末试卷原始成绩表")),"&lt;="&amp;PERCENTILE(INDIRECT(ADDRESS(2,COLUMN(AC7)+1,,,"4、期末试卷原始成绩表")):INDIRECT(ADDRESS(($B$1+1),COLUMN(AC7)+1,,,"4、期末试卷原始成绩表")),0.27)))/期末试卷分析表!AC7)</f>
        <v> </v>
      </c>
      <c r="AD18" s="12" t="str">
        <f ca="1">IF(AD7=" "," ",(AVERAGEIF(INDIRECT(ADDRESS(2,COLUMN(AD7)+1,,,"4、期末试卷原始成绩表")):INDIRECT(ADDRESS(($B$1+1),COLUMN(AD7)+1,,,"4、期末试卷原始成绩表")),"&gt;="&amp;PERCENTILE(INDIRECT(ADDRESS(2,COLUMN(AD7)+1,,,"4、期末试卷原始成绩表")):INDIRECT(ADDRESS(($B$1+1),COLUMN(AD7)+1,,,"4、期末试卷原始成绩表")),0.73))-AVERAGEIF(INDIRECT(ADDRESS(2,COLUMN(AD7)+1,,,"4、期末试卷原始成绩表")):INDIRECT(ADDRESS(($B$1+1),COLUMN(AD7)+1,,,"4、期末试卷原始成绩表")),"&lt;="&amp;PERCENTILE(INDIRECT(ADDRESS(2,COLUMN(AD7)+1,,,"4、期末试卷原始成绩表")):INDIRECT(ADDRESS(($B$1+1),COLUMN(AD7)+1,,,"4、期末试卷原始成绩表")),0.27)))/期末试卷分析表!AD7)</f>
        <v> </v>
      </c>
      <c r="AE18" s="12" t="str">
        <f ca="1">IF(AE7=" "," ",(AVERAGEIF(INDIRECT(ADDRESS(2,COLUMN(AE7)+1,,,"4、期末试卷原始成绩表")):INDIRECT(ADDRESS(($B$1+1),COLUMN(AE7)+1,,,"4、期末试卷原始成绩表")),"&gt;="&amp;PERCENTILE(INDIRECT(ADDRESS(2,COLUMN(AE7)+1,,,"4、期末试卷原始成绩表")):INDIRECT(ADDRESS(($B$1+1),COLUMN(AE7)+1,,,"4、期末试卷原始成绩表")),0.73))-AVERAGEIF(INDIRECT(ADDRESS(2,COLUMN(AE7)+1,,,"4、期末试卷原始成绩表")):INDIRECT(ADDRESS(($B$1+1),COLUMN(AE7)+1,,,"4、期末试卷原始成绩表")),"&lt;="&amp;PERCENTILE(INDIRECT(ADDRESS(2,COLUMN(AE7)+1,,,"4、期末试卷原始成绩表")):INDIRECT(ADDRESS(($B$1+1),COLUMN(AE7)+1,,,"4、期末试卷原始成绩表")),0.27)))/期末试卷分析表!AE7)</f>
        <v> </v>
      </c>
      <c r="AF18" s="12" t="str">
        <f ca="1">IF(AF7=" "," ",(AVERAGEIF(INDIRECT(ADDRESS(2,COLUMN(AF7)+1,,,"4、期末试卷原始成绩表")):INDIRECT(ADDRESS(($B$1+1),COLUMN(AF7)+1,,,"4、期末试卷原始成绩表")),"&gt;="&amp;PERCENTILE(INDIRECT(ADDRESS(2,COLUMN(AF7)+1,,,"4、期末试卷原始成绩表")):INDIRECT(ADDRESS(($B$1+1),COLUMN(AF7)+1,,,"4、期末试卷原始成绩表")),0.73))-AVERAGEIF(INDIRECT(ADDRESS(2,COLUMN(AF7)+1,,,"4、期末试卷原始成绩表")):INDIRECT(ADDRESS(($B$1+1),COLUMN(AF7)+1,,,"4、期末试卷原始成绩表")),"&lt;="&amp;PERCENTILE(INDIRECT(ADDRESS(2,COLUMN(AF7)+1,,,"4、期末试卷原始成绩表")):INDIRECT(ADDRESS(($B$1+1),COLUMN(AF7)+1,,,"4、期末试卷原始成绩表")),0.27)))/期末试卷分析表!AF7)</f>
        <v> </v>
      </c>
      <c r="AG18" s="12" t="str">
        <f ca="1">IF(AG7=" "," ",(AVERAGEIF(INDIRECT(ADDRESS(2,COLUMN(AG7)+1,,,"4、期末试卷原始成绩表")):INDIRECT(ADDRESS(($B$1+1),COLUMN(AG7)+1,,,"4、期末试卷原始成绩表")),"&gt;="&amp;PERCENTILE(INDIRECT(ADDRESS(2,COLUMN(AG7)+1,,,"4、期末试卷原始成绩表")):INDIRECT(ADDRESS(($B$1+1),COLUMN(AG7)+1,,,"4、期末试卷原始成绩表")),0.73))-AVERAGEIF(INDIRECT(ADDRESS(2,COLUMN(AG7)+1,,,"4、期末试卷原始成绩表")):INDIRECT(ADDRESS(($B$1+1),COLUMN(AG7)+1,,,"4、期末试卷原始成绩表")),"&lt;="&amp;PERCENTILE(INDIRECT(ADDRESS(2,COLUMN(AG7)+1,,,"4、期末试卷原始成绩表")):INDIRECT(ADDRESS(($B$1+1),COLUMN(AG7)+1,,,"4、期末试卷原始成绩表")),0.27)))/期末试卷分析表!AG7)</f>
        <v> </v>
      </c>
      <c r="AH18" s="12" t="str">
        <f ca="1">IF(AH7=" "," ",(AVERAGEIF(INDIRECT(ADDRESS(2,COLUMN(AH7)+1,,,"4、期末试卷原始成绩表")):INDIRECT(ADDRESS(($B$1+1),COLUMN(AH7)+1,,,"4、期末试卷原始成绩表")),"&gt;="&amp;PERCENTILE(INDIRECT(ADDRESS(2,COLUMN(AH7)+1,,,"4、期末试卷原始成绩表")):INDIRECT(ADDRESS(($B$1+1),COLUMN(AH7)+1,,,"4、期末试卷原始成绩表")),0.73))-AVERAGEIF(INDIRECT(ADDRESS(2,COLUMN(AH7)+1,,,"4、期末试卷原始成绩表")):INDIRECT(ADDRESS(($B$1+1),COLUMN(AH7)+1,,,"4、期末试卷原始成绩表")),"&lt;="&amp;PERCENTILE(INDIRECT(ADDRESS(2,COLUMN(AH7)+1,,,"4、期末试卷原始成绩表")):INDIRECT(ADDRESS(($B$1+1),COLUMN(AH7)+1,,,"4、期末试卷原始成绩表")),0.27)))/期末试卷分析表!AH7)</f>
        <v> </v>
      </c>
      <c r="AI18" s="12" t="str">
        <f ca="1">IF(AI7=" "," ",(AVERAGEIF(INDIRECT(ADDRESS(2,COLUMN(AI7)+1,,,"4、期末试卷原始成绩表")):INDIRECT(ADDRESS(($B$1+1),COLUMN(AI7)+1,,,"4、期末试卷原始成绩表")),"&gt;="&amp;PERCENTILE(INDIRECT(ADDRESS(2,COLUMN(AI7)+1,,,"4、期末试卷原始成绩表")):INDIRECT(ADDRESS(($B$1+1),COLUMN(AI7)+1,,,"4、期末试卷原始成绩表")),0.73))-AVERAGEIF(INDIRECT(ADDRESS(2,COLUMN(AI7)+1,,,"4、期末试卷原始成绩表")):INDIRECT(ADDRESS(($B$1+1),COLUMN(AI7)+1,,,"4、期末试卷原始成绩表")),"&lt;="&amp;PERCENTILE(INDIRECT(ADDRESS(2,COLUMN(AI7)+1,,,"4、期末试卷原始成绩表")):INDIRECT(ADDRESS(($B$1+1),COLUMN(AI7)+1,,,"4、期末试卷原始成绩表")),0.27)))/期末试卷分析表!AI7)</f>
        <v> </v>
      </c>
      <c r="AJ18" s="12" t="str">
        <f ca="1">IF(AJ7=" "," ",(AVERAGEIF(INDIRECT(ADDRESS(2,COLUMN(AJ7)+1,,,"4、期末试卷原始成绩表")):INDIRECT(ADDRESS(($B$1+1),COLUMN(AJ7)+1,,,"4、期末试卷原始成绩表")),"&gt;="&amp;PERCENTILE(INDIRECT(ADDRESS(2,COLUMN(AJ7)+1,,,"4、期末试卷原始成绩表")):INDIRECT(ADDRESS(($B$1+1),COLUMN(AJ7)+1,,,"4、期末试卷原始成绩表")),0.73))-AVERAGEIF(INDIRECT(ADDRESS(2,COLUMN(AJ7)+1,,,"4、期末试卷原始成绩表")):INDIRECT(ADDRESS(($B$1+1),COLUMN(AJ7)+1,,,"4、期末试卷原始成绩表")),"&lt;="&amp;PERCENTILE(INDIRECT(ADDRESS(2,COLUMN(AJ7)+1,,,"4、期末试卷原始成绩表")):INDIRECT(ADDRESS(($B$1+1),COLUMN(AJ7)+1,,,"4、期末试卷原始成绩表")),0.27)))/期末试卷分析表!AJ7)</f>
        <v> </v>
      </c>
      <c r="AK18" s="12" t="str">
        <f ca="1">IF(AK7=" "," ",(AVERAGEIF(INDIRECT(ADDRESS(2,COLUMN(AK7)+1,,,"4、期末试卷原始成绩表")):INDIRECT(ADDRESS(($B$1+1),COLUMN(AK7)+1,,,"4、期末试卷原始成绩表")),"&gt;="&amp;PERCENTILE(INDIRECT(ADDRESS(2,COLUMN(AK7)+1,,,"4、期末试卷原始成绩表")):INDIRECT(ADDRESS(($B$1+1),COLUMN(AK7)+1,,,"4、期末试卷原始成绩表")),0.73))-AVERAGEIF(INDIRECT(ADDRESS(2,COLUMN(AK7)+1,,,"4、期末试卷原始成绩表")):INDIRECT(ADDRESS(($B$1+1),COLUMN(AK7)+1,,,"4、期末试卷原始成绩表")),"&lt;="&amp;PERCENTILE(INDIRECT(ADDRESS(2,COLUMN(AK7)+1,,,"4、期末试卷原始成绩表")):INDIRECT(ADDRESS(($B$1+1),COLUMN(AK7)+1,,,"4、期末试卷原始成绩表")),0.27)))/期末试卷分析表!AK7)</f>
        <v> </v>
      </c>
      <c r="AL18" s="12" t="str">
        <f ca="1">IF(AL7=" "," ",(AVERAGEIF(INDIRECT(ADDRESS(2,COLUMN(AL7)+1,,,"4、期末试卷原始成绩表")):INDIRECT(ADDRESS(($B$1+1),COLUMN(AL7)+1,,,"4、期末试卷原始成绩表")),"&gt;="&amp;PERCENTILE(INDIRECT(ADDRESS(2,COLUMN(AL7)+1,,,"4、期末试卷原始成绩表")):INDIRECT(ADDRESS(($B$1+1),COLUMN(AL7)+1,,,"4、期末试卷原始成绩表")),0.73))-AVERAGEIF(INDIRECT(ADDRESS(2,COLUMN(AL7)+1,,,"4、期末试卷原始成绩表")):INDIRECT(ADDRESS(($B$1+1),COLUMN(AL7)+1,,,"4、期末试卷原始成绩表")),"&lt;="&amp;PERCENTILE(INDIRECT(ADDRESS(2,COLUMN(AL7)+1,,,"4、期末试卷原始成绩表")):INDIRECT(ADDRESS(($B$1+1),COLUMN(AL7)+1,,,"4、期末试卷原始成绩表")),0.27)))/期末试卷分析表!AL7)</f>
        <v> </v>
      </c>
      <c r="AM18" s="12" t="str">
        <f ca="1">IF(AM7=" "," ",(AVERAGEIF(INDIRECT(ADDRESS(2,COLUMN(AM7)+1,,,"4、期末试卷原始成绩表")):INDIRECT(ADDRESS(($B$1+1),COLUMN(AM7)+1,,,"4、期末试卷原始成绩表")),"&gt;="&amp;PERCENTILE(INDIRECT(ADDRESS(2,COLUMN(AM7)+1,,,"4、期末试卷原始成绩表")):INDIRECT(ADDRESS(($B$1+1),COLUMN(AM7)+1,,,"4、期末试卷原始成绩表")),0.73))-AVERAGEIF(INDIRECT(ADDRESS(2,COLUMN(AM7)+1,,,"4、期末试卷原始成绩表")):INDIRECT(ADDRESS(($B$1+1),COLUMN(AM7)+1,,,"4、期末试卷原始成绩表")),"&lt;="&amp;PERCENTILE(INDIRECT(ADDRESS(2,COLUMN(AM7)+1,,,"4、期末试卷原始成绩表")):INDIRECT(ADDRESS(($B$1+1),COLUMN(AM7)+1,,,"4、期末试卷原始成绩表")),0.27)))/期末试卷分析表!AM7)</f>
        <v> </v>
      </c>
      <c r="AN18" s="12" t="str">
        <f ca="1">IF(AN7=" "," ",(AVERAGEIF(INDIRECT(ADDRESS(2,COLUMN(AN7)+1,,,"4、期末试卷原始成绩表")):INDIRECT(ADDRESS(($B$1+1),COLUMN(AN7)+1,,,"4、期末试卷原始成绩表")),"&gt;="&amp;PERCENTILE(INDIRECT(ADDRESS(2,COLUMN(AN7)+1,,,"4、期末试卷原始成绩表")):INDIRECT(ADDRESS(($B$1+1),COLUMN(AN7)+1,,,"4、期末试卷原始成绩表")),0.73))-AVERAGEIF(INDIRECT(ADDRESS(2,COLUMN(AN7)+1,,,"4、期末试卷原始成绩表")):INDIRECT(ADDRESS(($B$1+1),COLUMN(AN7)+1,,,"4、期末试卷原始成绩表")),"&lt;="&amp;PERCENTILE(INDIRECT(ADDRESS(2,COLUMN(AN7)+1,,,"4、期末试卷原始成绩表")):INDIRECT(ADDRESS(($B$1+1),COLUMN(AN7)+1,,,"4、期末试卷原始成绩表")),0.27)))/期末试卷分析表!AN7)</f>
        <v> </v>
      </c>
      <c r="AO18" s="12" t="str">
        <f ca="1">IF(AO7=" "," ",(AVERAGEIF(INDIRECT(ADDRESS(2,COLUMN(AO7)+1,,,"4、期末试卷原始成绩表")):INDIRECT(ADDRESS(($B$1+1),COLUMN(AO7)+1,,,"4、期末试卷原始成绩表")),"&gt;="&amp;PERCENTILE(INDIRECT(ADDRESS(2,COLUMN(AO7)+1,,,"4、期末试卷原始成绩表")):INDIRECT(ADDRESS(($B$1+1),COLUMN(AO7)+1,,,"4、期末试卷原始成绩表")),0.73))-AVERAGEIF(INDIRECT(ADDRESS(2,COLUMN(AO7)+1,,,"4、期末试卷原始成绩表")):INDIRECT(ADDRESS(($B$1+1),COLUMN(AO7)+1,,,"4、期末试卷原始成绩表")),"&lt;="&amp;PERCENTILE(INDIRECT(ADDRESS(2,COLUMN(AO7)+1,,,"4、期末试卷原始成绩表")):INDIRECT(ADDRESS(($B$1+1),COLUMN(AO7)+1,,,"4、期末试卷原始成绩表")),0.27)))/期末试卷分析表!AO7)</f>
        <v> </v>
      </c>
      <c r="AP18" s="12" t="str">
        <f ca="1">IF(AP7=" "," ",(AVERAGEIF(INDIRECT(ADDRESS(2,COLUMN(AP7)+1,,,"4、期末试卷原始成绩表")):INDIRECT(ADDRESS(($B$1+1),COLUMN(AP7)+1,,,"4、期末试卷原始成绩表")),"&gt;="&amp;PERCENTILE(INDIRECT(ADDRESS(2,COLUMN(AP7)+1,,,"4、期末试卷原始成绩表")):INDIRECT(ADDRESS(($B$1+1),COLUMN(AP7)+1,,,"4、期末试卷原始成绩表")),0.73))-AVERAGEIF(INDIRECT(ADDRESS(2,COLUMN(AP7)+1,,,"4、期末试卷原始成绩表")):INDIRECT(ADDRESS(($B$1+1),COLUMN(AP7)+1,,,"4、期末试卷原始成绩表")),"&lt;="&amp;PERCENTILE(INDIRECT(ADDRESS(2,COLUMN(AP7)+1,,,"4、期末试卷原始成绩表")):INDIRECT(ADDRESS(($B$1+1),COLUMN(AP7)+1,,,"4、期末试卷原始成绩表")),0.27)))/期末试卷分析表!AP7)</f>
        <v> </v>
      </c>
      <c r="AQ18" s="12" t="str">
        <f ca="1">IF(AQ7=" "," ",(AVERAGEIF(INDIRECT(ADDRESS(2,COLUMN(AQ7)+1,,,"4、期末试卷原始成绩表")):INDIRECT(ADDRESS(($B$1+1),COLUMN(AQ7)+1,,,"4、期末试卷原始成绩表")),"&gt;="&amp;PERCENTILE(INDIRECT(ADDRESS(2,COLUMN(AQ7)+1,,,"4、期末试卷原始成绩表")):INDIRECT(ADDRESS(($B$1+1),COLUMN(AQ7)+1,,,"4、期末试卷原始成绩表")),0.73))-AVERAGEIF(INDIRECT(ADDRESS(2,COLUMN(AQ7)+1,,,"4、期末试卷原始成绩表")):INDIRECT(ADDRESS(($B$1+1),COLUMN(AQ7)+1,,,"4、期末试卷原始成绩表")),"&lt;="&amp;PERCENTILE(INDIRECT(ADDRESS(2,COLUMN(AQ7)+1,,,"4、期末试卷原始成绩表")):INDIRECT(ADDRESS(($B$1+1),COLUMN(AQ7)+1,,,"4、期末试卷原始成绩表")),0.27)))/期末试卷分析表!AQ7)</f>
        <v> </v>
      </c>
      <c r="AR18" s="12" t="str">
        <f ca="1">IF(AR7=" "," ",(AVERAGEIF(INDIRECT(ADDRESS(2,COLUMN(AR7)+1,,,"4、期末试卷原始成绩表")):INDIRECT(ADDRESS(($B$1+1),COLUMN(AR7)+1,,,"4、期末试卷原始成绩表")),"&gt;="&amp;PERCENTILE(INDIRECT(ADDRESS(2,COLUMN(AR7)+1,,,"4、期末试卷原始成绩表")):INDIRECT(ADDRESS(($B$1+1),COLUMN(AR7)+1,,,"4、期末试卷原始成绩表")),0.73))-AVERAGEIF(INDIRECT(ADDRESS(2,COLUMN(AR7)+1,,,"4、期末试卷原始成绩表")):INDIRECT(ADDRESS(($B$1+1),COLUMN(AR7)+1,,,"4、期末试卷原始成绩表")),"&lt;="&amp;PERCENTILE(INDIRECT(ADDRESS(2,COLUMN(AR7)+1,,,"4、期末试卷原始成绩表")):INDIRECT(ADDRESS(($B$1+1),COLUMN(AR7)+1,,,"4、期末试卷原始成绩表")),0.27)))/期末试卷分析表!AR7)</f>
        <v> </v>
      </c>
      <c r="AS18" s="12" t="str">
        <f ca="1">IF(AS7=" "," ",(AVERAGEIF(INDIRECT(ADDRESS(2,COLUMN(AS7)+1,,,"4、期末试卷原始成绩表")):INDIRECT(ADDRESS(($B$1+1),COLUMN(AS7)+1,,,"4、期末试卷原始成绩表")),"&gt;="&amp;PERCENTILE(INDIRECT(ADDRESS(2,COLUMN(AS7)+1,,,"4、期末试卷原始成绩表")):INDIRECT(ADDRESS(($B$1+1),COLUMN(AS7)+1,,,"4、期末试卷原始成绩表")),0.73))-AVERAGEIF(INDIRECT(ADDRESS(2,COLUMN(AS7)+1,,,"4、期末试卷原始成绩表")):INDIRECT(ADDRESS(($B$1+1),COLUMN(AS7)+1,,,"4、期末试卷原始成绩表")),"&lt;="&amp;PERCENTILE(INDIRECT(ADDRESS(2,COLUMN(AS7)+1,,,"4、期末试卷原始成绩表")):INDIRECT(ADDRESS(($B$1+1),COLUMN(AS7)+1,,,"4、期末试卷原始成绩表")),0.27)))/期末试卷分析表!AS7)</f>
        <v> </v>
      </c>
      <c r="AT18" s="12" t="str">
        <f ca="1">IF(AT7=" "," ",(AVERAGEIF(INDIRECT(ADDRESS(2,COLUMN(AT7)+1,,,"4、期末试卷原始成绩表")):INDIRECT(ADDRESS(($B$1+1),COLUMN(AT7)+1,,,"4、期末试卷原始成绩表")),"&gt;="&amp;PERCENTILE(INDIRECT(ADDRESS(2,COLUMN(AT7)+1,,,"4、期末试卷原始成绩表")):INDIRECT(ADDRESS(($B$1+1),COLUMN(AT7)+1,,,"4、期末试卷原始成绩表")),0.73))-AVERAGEIF(INDIRECT(ADDRESS(2,COLUMN(AT7)+1,,,"4、期末试卷原始成绩表")):INDIRECT(ADDRESS(($B$1+1),COLUMN(AT7)+1,,,"4、期末试卷原始成绩表")),"&lt;="&amp;PERCENTILE(INDIRECT(ADDRESS(2,COLUMN(AT7)+1,,,"4、期末试卷原始成绩表")):INDIRECT(ADDRESS(($B$1+1),COLUMN(AT7)+1,,,"4、期末试卷原始成绩表")),0.27)))/期末试卷分析表!AT7)</f>
        <v> </v>
      </c>
      <c r="AU18" s="12" t="str">
        <f ca="1">IF(AU7=" "," ",(AVERAGEIF(INDIRECT(ADDRESS(2,COLUMN(AU7)+1,,,"4、期末试卷原始成绩表")):INDIRECT(ADDRESS(($B$1+1),COLUMN(AU7)+1,,,"4、期末试卷原始成绩表")),"&gt;="&amp;PERCENTILE(INDIRECT(ADDRESS(2,COLUMN(AU7)+1,,,"4、期末试卷原始成绩表")):INDIRECT(ADDRESS(($B$1+1),COLUMN(AU7)+1,,,"4、期末试卷原始成绩表")),0.73))-AVERAGEIF(INDIRECT(ADDRESS(2,COLUMN(AU7)+1,,,"4、期末试卷原始成绩表")):INDIRECT(ADDRESS(($B$1+1),COLUMN(AU7)+1,,,"4、期末试卷原始成绩表")),"&lt;="&amp;PERCENTILE(INDIRECT(ADDRESS(2,COLUMN(AU7)+1,,,"4、期末试卷原始成绩表")):INDIRECT(ADDRESS(($B$1+1),COLUMN(AU7)+1,,,"4、期末试卷原始成绩表")),0.27)))/期末试卷分析表!AU7)</f>
        <v> </v>
      </c>
      <c r="AV18" s="12" t="str">
        <f ca="1">IF(AV7=" "," ",(AVERAGEIF(INDIRECT(ADDRESS(2,COLUMN(AV7)+1,,,"4、期末试卷原始成绩表")):INDIRECT(ADDRESS(($B$1+1),COLUMN(AV7)+1,,,"4、期末试卷原始成绩表")),"&gt;="&amp;PERCENTILE(INDIRECT(ADDRESS(2,COLUMN(AV7)+1,,,"4、期末试卷原始成绩表")):INDIRECT(ADDRESS(($B$1+1),COLUMN(AV7)+1,,,"4、期末试卷原始成绩表")),0.73))-AVERAGEIF(INDIRECT(ADDRESS(2,COLUMN(AV7)+1,,,"4、期末试卷原始成绩表")):INDIRECT(ADDRESS(($B$1+1),COLUMN(AV7)+1,,,"4、期末试卷原始成绩表")),"&lt;="&amp;PERCENTILE(INDIRECT(ADDRESS(2,COLUMN(AV7)+1,,,"4、期末试卷原始成绩表")):INDIRECT(ADDRESS(($B$1+1),COLUMN(AV7)+1,,,"4、期末试卷原始成绩表")),0.27)))/期末试卷分析表!AV7)</f>
        <v> </v>
      </c>
      <c r="AW18" s="12" t="str">
        <f ca="1">IF(AW7=" "," ",(AVERAGEIF(INDIRECT(ADDRESS(2,COLUMN(AW7)+1,,,"4、期末试卷原始成绩表")):INDIRECT(ADDRESS(($B$1+1),COLUMN(AW7)+1,,,"4、期末试卷原始成绩表")),"&gt;="&amp;PERCENTILE(INDIRECT(ADDRESS(2,COLUMN(AW7)+1,,,"4、期末试卷原始成绩表")):INDIRECT(ADDRESS(($B$1+1),COLUMN(AW7)+1,,,"4、期末试卷原始成绩表")),0.73))-AVERAGEIF(INDIRECT(ADDRESS(2,COLUMN(AW7)+1,,,"4、期末试卷原始成绩表")):INDIRECT(ADDRESS(($B$1+1),COLUMN(AW7)+1,,,"4、期末试卷原始成绩表")),"&lt;="&amp;PERCENTILE(INDIRECT(ADDRESS(2,COLUMN(AW7)+1,,,"4、期末试卷原始成绩表")):INDIRECT(ADDRESS(($B$1+1),COLUMN(AW7)+1,,,"4、期末试卷原始成绩表")),0.27)))/期末试卷分析表!AW7)</f>
        <v> </v>
      </c>
      <c r="AX18" s="12" t="str">
        <f ca="1">IF(AX7=" "," ",(AVERAGEIF(INDIRECT(ADDRESS(2,COLUMN(AX7)+1,,,"4、期末试卷原始成绩表")):INDIRECT(ADDRESS(($B$1+1),COLUMN(AX7)+1,,,"4、期末试卷原始成绩表")),"&gt;="&amp;PERCENTILE(INDIRECT(ADDRESS(2,COLUMN(AX7)+1,,,"4、期末试卷原始成绩表")):INDIRECT(ADDRESS(($B$1+1),COLUMN(AX7)+1,,,"4、期末试卷原始成绩表")),0.73))-AVERAGEIF(INDIRECT(ADDRESS(2,COLUMN(AX7)+1,,,"4、期末试卷原始成绩表")):INDIRECT(ADDRESS(($B$1+1),COLUMN(AX7)+1,,,"4、期末试卷原始成绩表")),"&lt;="&amp;PERCENTILE(INDIRECT(ADDRESS(2,COLUMN(AX7)+1,,,"4、期末试卷原始成绩表")):INDIRECT(ADDRESS(($B$1+1),COLUMN(AX7)+1,,,"4、期末试卷原始成绩表")),0.27)))/期末试卷分析表!AX7)</f>
        <v> </v>
      </c>
      <c r="AY18" s="12" t="str">
        <f ca="1">IF(AY7=" "," ",(AVERAGEIF(INDIRECT(ADDRESS(2,COLUMN(AY7)+1,,,"4、期末试卷原始成绩表")):INDIRECT(ADDRESS(($B$1+1),COLUMN(AY7)+1,,,"4、期末试卷原始成绩表")),"&gt;="&amp;PERCENTILE(INDIRECT(ADDRESS(2,COLUMN(AY7)+1,,,"4、期末试卷原始成绩表")):INDIRECT(ADDRESS(($B$1+1),COLUMN(AY7)+1,,,"4、期末试卷原始成绩表")),0.73))-AVERAGEIF(INDIRECT(ADDRESS(2,COLUMN(AY7)+1,,,"4、期末试卷原始成绩表")):INDIRECT(ADDRESS(($B$1+1),COLUMN(AY7)+1,,,"4、期末试卷原始成绩表")),"&lt;="&amp;PERCENTILE(INDIRECT(ADDRESS(2,COLUMN(AY7)+1,,,"4、期末试卷原始成绩表")):INDIRECT(ADDRESS(($B$1+1),COLUMN(AY7)+1,,,"4、期末试卷原始成绩表")),0.27)))/期末试卷分析表!AY7)</f>
        <v> </v>
      </c>
      <c r="AZ18" s="12" t="str">
        <f ca="1">IF(AZ7=" "," ",(AVERAGEIF(INDIRECT(ADDRESS(2,COLUMN(AZ7)+1,,,"4、期末试卷原始成绩表")):INDIRECT(ADDRESS(($B$1+1),COLUMN(AZ7)+1,,,"4、期末试卷原始成绩表")),"&gt;="&amp;PERCENTILE(INDIRECT(ADDRESS(2,COLUMN(AZ7)+1,,,"4、期末试卷原始成绩表")):INDIRECT(ADDRESS(($B$1+1),COLUMN(AZ7)+1,,,"4、期末试卷原始成绩表")),0.73))-AVERAGEIF(INDIRECT(ADDRESS(2,COLUMN(AZ7)+1,,,"4、期末试卷原始成绩表")):INDIRECT(ADDRESS(($B$1+1),COLUMN(AZ7)+1,,,"4、期末试卷原始成绩表")),"&lt;="&amp;PERCENTILE(INDIRECT(ADDRESS(2,COLUMN(AZ7)+1,,,"4、期末试卷原始成绩表")):INDIRECT(ADDRESS(($B$1+1),COLUMN(AZ7)+1,,,"4、期末试卷原始成绩表")),0.27)))/期末试卷分析表!AZ7)</f>
        <v> </v>
      </c>
      <c r="BA18" s="12" t="str">
        <f ca="1">IF(BA7=" "," ",(AVERAGEIF(INDIRECT(ADDRESS(2,COLUMN(BA7)+1,,,"4、期末试卷原始成绩表")):INDIRECT(ADDRESS(($B$1+1),COLUMN(BA7)+1,,,"4、期末试卷原始成绩表")),"&gt;="&amp;PERCENTILE(INDIRECT(ADDRESS(2,COLUMN(BA7)+1,,,"4、期末试卷原始成绩表")):INDIRECT(ADDRESS(($B$1+1),COLUMN(BA7)+1,,,"4、期末试卷原始成绩表")),0.73))-AVERAGEIF(INDIRECT(ADDRESS(2,COLUMN(BA7)+1,,,"4、期末试卷原始成绩表")):INDIRECT(ADDRESS(($B$1+1),COLUMN(BA7)+1,,,"4、期末试卷原始成绩表")),"&lt;="&amp;PERCENTILE(INDIRECT(ADDRESS(2,COLUMN(BA7)+1,,,"4、期末试卷原始成绩表")):INDIRECT(ADDRESS(($B$1+1),COLUMN(BA7)+1,,,"4、期末试卷原始成绩表")),0.27)))/期末试卷分析表!BA7)</f>
        <v> </v>
      </c>
      <c r="BB18" s="12" t="str">
        <f ca="1">IF(BB7=" "," ",(AVERAGEIF(INDIRECT(ADDRESS(2,COLUMN(BB7)+1,,,"4、期末试卷原始成绩表")):INDIRECT(ADDRESS(($B$1+1),COLUMN(BB7)+1,,,"4、期末试卷原始成绩表")),"&gt;="&amp;PERCENTILE(INDIRECT(ADDRESS(2,COLUMN(BB7)+1,,,"4、期末试卷原始成绩表")):INDIRECT(ADDRESS(($B$1+1),COLUMN(BB7)+1,,,"4、期末试卷原始成绩表")),0.73))-AVERAGEIF(INDIRECT(ADDRESS(2,COLUMN(BB7)+1,,,"4、期末试卷原始成绩表")):INDIRECT(ADDRESS(($B$1+1),COLUMN(BB7)+1,,,"4、期末试卷原始成绩表")),"&lt;="&amp;PERCENTILE(INDIRECT(ADDRESS(2,COLUMN(BB7)+1,,,"4、期末试卷原始成绩表")):INDIRECT(ADDRESS(($B$1+1),COLUMN(BB7)+1,,,"4、期末试卷原始成绩表")),0.27)))/期末试卷分析表!BB7)</f>
        <v> </v>
      </c>
      <c r="BC18" s="12" t="str">
        <f ca="1">IF(BC7=" "," ",(AVERAGEIF(INDIRECT(ADDRESS(2,COLUMN(BC7)+1,,,"4、期末试卷原始成绩表")):INDIRECT(ADDRESS(($B$1+1),COLUMN(BC7)+1,,,"4、期末试卷原始成绩表")),"&gt;="&amp;PERCENTILE(INDIRECT(ADDRESS(2,COLUMN(BC7)+1,,,"4、期末试卷原始成绩表")):INDIRECT(ADDRESS(($B$1+1),COLUMN(BC7)+1,,,"4、期末试卷原始成绩表")),0.73))-AVERAGEIF(INDIRECT(ADDRESS(2,COLUMN(BC7)+1,,,"4、期末试卷原始成绩表")):INDIRECT(ADDRESS(($B$1+1),COLUMN(BC7)+1,,,"4、期末试卷原始成绩表")),"&lt;="&amp;PERCENTILE(INDIRECT(ADDRESS(2,COLUMN(BC7)+1,,,"4、期末试卷原始成绩表")):INDIRECT(ADDRESS(($B$1+1),COLUMN(BC7)+1,,,"4、期末试卷原始成绩表")),0.27)))/期末试卷分析表!BC7)</f>
        <v> </v>
      </c>
      <c r="BD18" s="12" t="str">
        <f ca="1">IF(BD7=" "," ",(AVERAGEIF(INDIRECT(ADDRESS(2,COLUMN(BD7)+1,,,"4、期末试卷原始成绩表")):INDIRECT(ADDRESS(($B$1+1),COLUMN(BD7)+1,,,"4、期末试卷原始成绩表")),"&gt;="&amp;PERCENTILE(INDIRECT(ADDRESS(2,COLUMN(BD7)+1,,,"4、期末试卷原始成绩表")):INDIRECT(ADDRESS(($B$1+1),COLUMN(BD7)+1,,,"4、期末试卷原始成绩表")),0.73))-AVERAGEIF(INDIRECT(ADDRESS(2,COLUMN(BD7)+1,,,"4、期末试卷原始成绩表")):INDIRECT(ADDRESS(($B$1+1),COLUMN(BD7)+1,,,"4、期末试卷原始成绩表")),"&lt;="&amp;PERCENTILE(INDIRECT(ADDRESS(2,COLUMN(BD7)+1,,,"4、期末试卷原始成绩表")):INDIRECT(ADDRESS(($B$1+1),COLUMN(BD7)+1,,,"4、期末试卷原始成绩表")),0.27)))/期末试卷分析表!BD7)</f>
        <v> </v>
      </c>
      <c r="BE18" s="12" t="str">
        <f ca="1">IF(BE7=" "," ",(AVERAGEIF(INDIRECT(ADDRESS(2,COLUMN(BE7)+1,,,"4、期末试卷原始成绩表")):INDIRECT(ADDRESS(($B$1+1),COLUMN(BE7)+1,,,"4、期末试卷原始成绩表")),"&gt;="&amp;PERCENTILE(INDIRECT(ADDRESS(2,COLUMN(BE7)+1,,,"4、期末试卷原始成绩表")):INDIRECT(ADDRESS(($B$1+1),COLUMN(BE7)+1,,,"4、期末试卷原始成绩表")),0.73))-AVERAGEIF(INDIRECT(ADDRESS(2,COLUMN(BE7)+1,,,"4、期末试卷原始成绩表")):INDIRECT(ADDRESS(($B$1+1),COLUMN(BE7)+1,,,"4、期末试卷原始成绩表")),"&lt;="&amp;PERCENTILE(INDIRECT(ADDRESS(2,COLUMN(BE7)+1,,,"4、期末试卷原始成绩表")):INDIRECT(ADDRESS(($B$1+1),COLUMN(BE7)+1,,,"4、期末试卷原始成绩表")),0.27)))/期末试卷分析表!BE7)</f>
        <v> </v>
      </c>
      <c r="BF18" s="12" t="str">
        <f ca="1">IF(BF7=" "," ",(AVERAGEIF(INDIRECT(ADDRESS(2,COLUMN(BF7)+1,,,"4、期末试卷原始成绩表")):INDIRECT(ADDRESS(($B$1+1),COLUMN(BF7)+1,,,"4、期末试卷原始成绩表")),"&gt;="&amp;PERCENTILE(INDIRECT(ADDRESS(2,COLUMN(BF7)+1,,,"4、期末试卷原始成绩表")):INDIRECT(ADDRESS(($B$1+1),COLUMN(BF7)+1,,,"4、期末试卷原始成绩表")),0.73))-AVERAGEIF(INDIRECT(ADDRESS(2,COLUMN(BF7)+1,,,"4、期末试卷原始成绩表")):INDIRECT(ADDRESS(($B$1+1),COLUMN(BF7)+1,,,"4、期末试卷原始成绩表")),"&lt;="&amp;PERCENTILE(INDIRECT(ADDRESS(2,COLUMN(BF7)+1,,,"4、期末试卷原始成绩表")):INDIRECT(ADDRESS(($B$1+1),COLUMN(BF7)+1,,,"4、期末试卷原始成绩表")),0.27)))/期末试卷分析表!BF7)</f>
        <v> </v>
      </c>
      <c r="BG18" s="12" t="str">
        <f ca="1">IF(BG7=" "," ",(AVERAGEIF(INDIRECT(ADDRESS(2,COLUMN(BG7)+1,,,"4、期末试卷原始成绩表")):INDIRECT(ADDRESS(($B$1+1),COLUMN(BG7)+1,,,"4、期末试卷原始成绩表")),"&gt;="&amp;PERCENTILE(INDIRECT(ADDRESS(2,COLUMN(BG7)+1,,,"4、期末试卷原始成绩表")):INDIRECT(ADDRESS(($B$1+1),COLUMN(BG7)+1,,,"4、期末试卷原始成绩表")),0.73))-AVERAGEIF(INDIRECT(ADDRESS(2,COLUMN(BG7)+1,,,"4、期末试卷原始成绩表")):INDIRECT(ADDRESS(($B$1+1),COLUMN(BG7)+1,,,"4、期末试卷原始成绩表")),"&lt;="&amp;PERCENTILE(INDIRECT(ADDRESS(2,COLUMN(BG7)+1,,,"4、期末试卷原始成绩表")):INDIRECT(ADDRESS(($B$1+1),COLUMN(BG7)+1,,,"4、期末试卷原始成绩表")),0.27)))/期末试卷分析表!BG7)</f>
        <v> </v>
      </c>
      <c r="BH18" s="12" t="str">
        <f ca="1">IF(BH7=" "," ",(AVERAGEIF(INDIRECT(ADDRESS(2,COLUMN(BH7)+1,,,"4、期末试卷原始成绩表")):INDIRECT(ADDRESS(($B$1+1),COLUMN(BH7)+1,,,"4、期末试卷原始成绩表")),"&gt;="&amp;PERCENTILE(INDIRECT(ADDRESS(2,COLUMN(BH7)+1,,,"4、期末试卷原始成绩表")):INDIRECT(ADDRESS(($B$1+1),COLUMN(BH7)+1,,,"4、期末试卷原始成绩表")),0.73))-AVERAGEIF(INDIRECT(ADDRESS(2,COLUMN(BH7)+1,,,"4、期末试卷原始成绩表")):INDIRECT(ADDRESS(($B$1+1),COLUMN(BH7)+1,,,"4、期末试卷原始成绩表")),"&lt;="&amp;PERCENTILE(INDIRECT(ADDRESS(2,COLUMN(BH7)+1,,,"4、期末试卷原始成绩表")):INDIRECT(ADDRESS(($B$1+1),COLUMN(BH7)+1,,,"4、期末试卷原始成绩表")),0.27)))/期末试卷分析表!BH7)</f>
        <v> </v>
      </c>
      <c r="BI18" s="12" t="str">
        <f ca="1">IF(BI7=" "," ",(AVERAGEIF(INDIRECT(ADDRESS(2,COLUMN(BI7)+1,,,"4、期末试卷原始成绩表")):INDIRECT(ADDRESS(($B$1+1),COLUMN(BI7)+1,,,"4、期末试卷原始成绩表")),"&gt;="&amp;PERCENTILE(INDIRECT(ADDRESS(2,COLUMN(BI7)+1,,,"4、期末试卷原始成绩表")):INDIRECT(ADDRESS(($B$1+1),COLUMN(BI7)+1,,,"4、期末试卷原始成绩表")),0.73))-AVERAGEIF(INDIRECT(ADDRESS(2,COLUMN(BI7)+1,,,"4、期末试卷原始成绩表")):INDIRECT(ADDRESS(($B$1+1),COLUMN(BI7)+1,,,"4、期末试卷原始成绩表")),"&lt;="&amp;PERCENTILE(INDIRECT(ADDRESS(2,COLUMN(BI7)+1,,,"4、期末试卷原始成绩表")):INDIRECT(ADDRESS(($B$1+1),COLUMN(BI7)+1,,,"4、期末试卷原始成绩表")),0.27)))/期末试卷分析表!BI7)</f>
        <v> </v>
      </c>
      <c r="BJ18" s="12" t="str">
        <f ca="1">IF(BJ7=" "," ",(AVERAGEIF(INDIRECT(ADDRESS(2,COLUMN(BJ7)+1,,,"4、期末试卷原始成绩表")):INDIRECT(ADDRESS(($B$1+1),COLUMN(BJ7)+1,,,"4、期末试卷原始成绩表")),"&gt;="&amp;PERCENTILE(INDIRECT(ADDRESS(2,COLUMN(BJ7)+1,,,"4、期末试卷原始成绩表")):INDIRECT(ADDRESS(($B$1+1),COLUMN(BJ7)+1,,,"4、期末试卷原始成绩表")),0.73))-AVERAGEIF(INDIRECT(ADDRESS(2,COLUMN(BJ7)+1,,,"4、期末试卷原始成绩表")):INDIRECT(ADDRESS(($B$1+1),COLUMN(BJ7)+1,,,"4、期末试卷原始成绩表")),"&lt;="&amp;PERCENTILE(INDIRECT(ADDRESS(2,COLUMN(BJ7)+1,,,"4、期末试卷原始成绩表")):INDIRECT(ADDRESS(($B$1+1),COLUMN(BJ7)+1,,,"4、期末试卷原始成绩表")),0.27)))/期末试卷分析表!BJ7)</f>
        <v> </v>
      </c>
      <c r="BK18" s="12" t="str">
        <f ca="1">IF(BK7=" "," ",(AVERAGEIF(INDIRECT(ADDRESS(2,COLUMN(BK7)+1,,,"4、期末试卷原始成绩表")):INDIRECT(ADDRESS(($B$1+1),COLUMN(BK7)+1,,,"4、期末试卷原始成绩表")),"&gt;="&amp;PERCENTILE(INDIRECT(ADDRESS(2,COLUMN(BK7)+1,,,"4、期末试卷原始成绩表")):INDIRECT(ADDRESS(($B$1+1),COLUMN(BK7)+1,,,"4、期末试卷原始成绩表")),0.73))-AVERAGEIF(INDIRECT(ADDRESS(2,COLUMN(BK7)+1,,,"4、期末试卷原始成绩表")):INDIRECT(ADDRESS(($B$1+1),COLUMN(BK7)+1,,,"4、期末试卷原始成绩表")),"&lt;="&amp;PERCENTILE(INDIRECT(ADDRESS(2,COLUMN(BK7)+1,,,"4、期末试卷原始成绩表")):INDIRECT(ADDRESS(($B$1+1),COLUMN(BK7)+1,,,"4、期末试卷原始成绩表")),0.27)))/期末试卷分析表!BK7)</f>
        <v> </v>
      </c>
      <c r="BL18" s="12" t="str">
        <f ca="1">IF(BL7=" "," ",(AVERAGEIF(INDIRECT(ADDRESS(2,COLUMN(BL7)+1,,,"4、期末试卷原始成绩表")):INDIRECT(ADDRESS(($B$1+1),COLUMN(BL7)+1,,,"4、期末试卷原始成绩表")),"&gt;="&amp;PERCENTILE(INDIRECT(ADDRESS(2,COLUMN(BL7)+1,,,"4、期末试卷原始成绩表")):INDIRECT(ADDRESS(($B$1+1),COLUMN(BL7)+1,,,"4、期末试卷原始成绩表")),0.73))-AVERAGEIF(INDIRECT(ADDRESS(2,COLUMN(BL7)+1,,,"4、期末试卷原始成绩表")):INDIRECT(ADDRESS(($B$1+1),COLUMN(BL7)+1,,,"4、期末试卷原始成绩表")),"&lt;="&amp;PERCENTILE(INDIRECT(ADDRESS(2,COLUMN(BL7)+1,,,"4、期末试卷原始成绩表")):INDIRECT(ADDRESS(($B$1+1),COLUMN(BL7)+1,,,"4、期末试卷原始成绩表")),0.27)))/期末试卷分析表!BL7)</f>
        <v> </v>
      </c>
      <c r="BM18" s="12" t="str">
        <f ca="1">IF(BM7=" "," ",(AVERAGEIF(INDIRECT(ADDRESS(2,COLUMN(BM7)+1,,,"4、期末试卷原始成绩表")):INDIRECT(ADDRESS(($B$1+1),COLUMN(BM7)+1,,,"4、期末试卷原始成绩表")),"&gt;="&amp;PERCENTILE(INDIRECT(ADDRESS(2,COLUMN(BM7)+1,,,"4、期末试卷原始成绩表")):INDIRECT(ADDRESS(($B$1+1),COLUMN(BM7)+1,,,"4、期末试卷原始成绩表")),0.73))-AVERAGEIF(INDIRECT(ADDRESS(2,COLUMN(BM7)+1,,,"4、期末试卷原始成绩表")):INDIRECT(ADDRESS(($B$1+1),COLUMN(BM7)+1,,,"4、期末试卷原始成绩表")),"&lt;="&amp;PERCENTILE(INDIRECT(ADDRESS(2,COLUMN(BM7)+1,,,"4、期末试卷原始成绩表")):INDIRECT(ADDRESS(($B$1+1),COLUMN(BM7)+1,,,"4、期末试卷原始成绩表")),0.27)))/期末试卷分析表!BM7)</f>
        <v> </v>
      </c>
      <c r="BN18" s="12" t="str">
        <f ca="1">IF(BN7=" "," ",(AVERAGEIF(INDIRECT(ADDRESS(2,COLUMN(BN7)+1,,,"4、期末试卷原始成绩表")):INDIRECT(ADDRESS(($B$1+1),COLUMN(BN7)+1,,,"4、期末试卷原始成绩表")),"&gt;="&amp;PERCENTILE(INDIRECT(ADDRESS(2,COLUMN(BN7)+1,,,"4、期末试卷原始成绩表")):INDIRECT(ADDRESS(($B$1+1),COLUMN(BN7)+1,,,"4、期末试卷原始成绩表")),0.73))-AVERAGEIF(INDIRECT(ADDRESS(2,COLUMN(BN7)+1,,,"4、期末试卷原始成绩表")):INDIRECT(ADDRESS(($B$1+1),COLUMN(BN7)+1,,,"4、期末试卷原始成绩表")),"&lt;="&amp;PERCENTILE(INDIRECT(ADDRESS(2,COLUMN(BN7)+1,,,"4、期末试卷原始成绩表")):INDIRECT(ADDRESS(($B$1+1),COLUMN(BN7)+1,,,"4、期末试卷原始成绩表")),0.27)))/期末试卷分析表!BN7)</f>
        <v> </v>
      </c>
      <c r="BO18" s="12" t="str">
        <f ca="1">IF(BO7=" "," ",(AVERAGEIF(INDIRECT(ADDRESS(2,COLUMN(BO7)+1,,,"4、期末试卷原始成绩表")):INDIRECT(ADDRESS(($B$1+1),COLUMN(BO7)+1,,,"4、期末试卷原始成绩表")),"&gt;="&amp;PERCENTILE(INDIRECT(ADDRESS(2,COLUMN(BO7)+1,,,"4、期末试卷原始成绩表")):INDIRECT(ADDRESS(($B$1+1),COLUMN(BO7)+1,,,"4、期末试卷原始成绩表")),0.73))-AVERAGEIF(INDIRECT(ADDRESS(2,COLUMN(BO7)+1,,,"4、期末试卷原始成绩表")):INDIRECT(ADDRESS(($B$1+1),COLUMN(BO7)+1,,,"4、期末试卷原始成绩表")),"&lt;="&amp;PERCENTILE(INDIRECT(ADDRESS(2,COLUMN(BO7)+1,,,"4、期末试卷原始成绩表")):INDIRECT(ADDRESS(($B$1+1),COLUMN(BO7)+1,,,"4、期末试卷原始成绩表")),0.27)))/期末试卷分析表!BO7)</f>
        <v> </v>
      </c>
      <c r="BP18" s="12" t="str">
        <f ca="1">IF(BP7=" "," ",(AVERAGEIF(INDIRECT(ADDRESS(2,COLUMN(BP7)+1,,,"4、期末试卷原始成绩表")):INDIRECT(ADDRESS(($B$1+1),COLUMN(BP7)+1,,,"4、期末试卷原始成绩表")),"&gt;="&amp;PERCENTILE(INDIRECT(ADDRESS(2,COLUMN(BP7)+1,,,"4、期末试卷原始成绩表")):INDIRECT(ADDRESS(($B$1+1),COLUMN(BP7)+1,,,"4、期末试卷原始成绩表")),0.73))-AVERAGEIF(INDIRECT(ADDRESS(2,COLUMN(BP7)+1,,,"4、期末试卷原始成绩表")):INDIRECT(ADDRESS(($B$1+1),COLUMN(BP7)+1,,,"4、期末试卷原始成绩表")),"&lt;="&amp;PERCENTILE(INDIRECT(ADDRESS(2,COLUMN(BP7)+1,,,"4、期末试卷原始成绩表")):INDIRECT(ADDRESS(($B$1+1),COLUMN(BP7)+1,,,"4、期末试卷原始成绩表")),0.27)))/期末试卷分析表!BP7)</f>
        <v> </v>
      </c>
      <c r="BQ18" s="12" t="str">
        <f ca="1">IF(BQ7=" "," ",(AVERAGEIF(INDIRECT(ADDRESS(2,COLUMN(BQ7)+1,,,"4、期末试卷原始成绩表")):INDIRECT(ADDRESS(($B$1+1),COLUMN(BQ7)+1,,,"4、期末试卷原始成绩表")),"&gt;="&amp;PERCENTILE(INDIRECT(ADDRESS(2,COLUMN(BQ7)+1,,,"4、期末试卷原始成绩表")):INDIRECT(ADDRESS(($B$1+1),COLUMN(BQ7)+1,,,"4、期末试卷原始成绩表")),0.73))-AVERAGEIF(INDIRECT(ADDRESS(2,COLUMN(BQ7)+1,,,"4、期末试卷原始成绩表")):INDIRECT(ADDRESS(($B$1+1),COLUMN(BQ7)+1,,,"4、期末试卷原始成绩表")),"&lt;="&amp;PERCENTILE(INDIRECT(ADDRESS(2,COLUMN(BQ7)+1,,,"4、期末试卷原始成绩表")):INDIRECT(ADDRESS(($B$1+1),COLUMN(BQ7)+1,,,"4、期末试卷原始成绩表")),0.27)))/期末试卷分析表!BQ7)</f>
        <v> </v>
      </c>
      <c r="BR18" s="12" t="str">
        <f ca="1">IF(BR7=" "," ",(AVERAGEIF(INDIRECT(ADDRESS(2,COLUMN(BR7)+1,,,"4、期末试卷原始成绩表")):INDIRECT(ADDRESS(($B$1+1),COLUMN(BR7)+1,,,"4、期末试卷原始成绩表")),"&gt;="&amp;PERCENTILE(INDIRECT(ADDRESS(2,COLUMN(BR7)+1,,,"4、期末试卷原始成绩表")):INDIRECT(ADDRESS(($B$1+1),COLUMN(BR7)+1,,,"4、期末试卷原始成绩表")),0.73))-AVERAGEIF(INDIRECT(ADDRESS(2,COLUMN(BR7)+1,,,"4、期末试卷原始成绩表")):INDIRECT(ADDRESS(($B$1+1),COLUMN(BR7)+1,,,"4、期末试卷原始成绩表")),"&lt;="&amp;PERCENTILE(INDIRECT(ADDRESS(2,COLUMN(BR7)+1,,,"4、期末试卷原始成绩表")):INDIRECT(ADDRESS(($B$1+1),COLUMN(BR7)+1,,,"4、期末试卷原始成绩表")),0.27)))/期末试卷分析表!BR7)</f>
        <v> </v>
      </c>
      <c r="BS18" s="12" t="str">
        <f ca="1">IF(BS7=" "," ",(AVERAGEIF(INDIRECT(ADDRESS(2,COLUMN(BS7)+1,,,"4、期末试卷原始成绩表")):INDIRECT(ADDRESS(($B$1+1),COLUMN(BS7)+1,,,"4、期末试卷原始成绩表")),"&gt;="&amp;PERCENTILE(INDIRECT(ADDRESS(2,COLUMN(BS7)+1,,,"4、期末试卷原始成绩表")):INDIRECT(ADDRESS(($B$1+1),COLUMN(BS7)+1,,,"4、期末试卷原始成绩表")),0.73))-AVERAGEIF(INDIRECT(ADDRESS(2,COLUMN(BS7)+1,,,"4、期末试卷原始成绩表")):INDIRECT(ADDRESS(($B$1+1),COLUMN(BS7)+1,,,"4、期末试卷原始成绩表")),"&lt;="&amp;PERCENTILE(INDIRECT(ADDRESS(2,COLUMN(BS7)+1,,,"4、期末试卷原始成绩表")):INDIRECT(ADDRESS(($B$1+1),COLUMN(BS7)+1,,,"4、期末试卷原始成绩表")),0.27)))/期末试卷分析表!BS7)</f>
        <v> </v>
      </c>
      <c r="BT18" s="12" t="str">
        <f ca="1">IF(BT7=" "," ",(AVERAGEIF(INDIRECT(ADDRESS(2,COLUMN(BT7)+1,,,"4、期末试卷原始成绩表")):INDIRECT(ADDRESS(($B$1+1),COLUMN(BT7)+1,,,"4、期末试卷原始成绩表")),"&gt;="&amp;PERCENTILE(INDIRECT(ADDRESS(2,COLUMN(BT7)+1,,,"4、期末试卷原始成绩表")):INDIRECT(ADDRESS(($B$1+1),COLUMN(BT7)+1,,,"4、期末试卷原始成绩表")),0.73))-AVERAGEIF(INDIRECT(ADDRESS(2,COLUMN(BT7)+1,,,"4、期末试卷原始成绩表")):INDIRECT(ADDRESS(($B$1+1),COLUMN(BT7)+1,,,"4、期末试卷原始成绩表")),"&lt;="&amp;PERCENTILE(INDIRECT(ADDRESS(2,COLUMN(BT7)+1,,,"4、期末试卷原始成绩表")):INDIRECT(ADDRESS(($B$1+1),COLUMN(BT7)+1,,,"4、期末试卷原始成绩表")),0.27)))/期末试卷分析表!BT7)</f>
        <v> </v>
      </c>
      <c r="BU18" s="12" t="str">
        <f ca="1">IF(BU7=" "," ",(AVERAGEIF(INDIRECT(ADDRESS(2,COLUMN(BU7)+1,,,"4、期末试卷原始成绩表")):INDIRECT(ADDRESS(($B$1+1),COLUMN(BU7)+1,,,"4、期末试卷原始成绩表")),"&gt;="&amp;PERCENTILE(INDIRECT(ADDRESS(2,COLUMN(BU7)+1,,,"4、期末试卷原始成绩表")):INDIRECT(ADDRESS(($B$1+1),COLUMN(BU7)+1,,,"4、期末试卷原始成绩表")),0.73))-AVERAGEIF(INDIRECT(ADDRESS(2,COLUMN(BU7)+1,,,"4、期末试卷原始成绩表")):INDIRECT(ADDRESS(($B$1+1),COLUMN(BU7)+1,,,"4、期末试卷原始成绩表")),"&lt;="&amp;PERCENTILE(INDIRECT(ADDRESS(2,COLUMN(BU7)+1,,,"4、期末试卷原始成绩表")):INDIRECT(ADDRESS(($B$1+1),COLUMN(BU7)+1,,,"4、期末试卷原始成绩表")),0.27)))/期末试卷分析表!BU7)</f>
        <v> </v>
      </c>
      <c r="BV18" s="12" t="str">
        <f ca="1">IF(BV7=" "," ",(AVERAGEIF(INDIRECT(ADDRESS(2,COLUMN(BV7)+1,,,"4、期末试卷原始成绩表")):INDIRECT(ADDRESS(($B$1+1),COLUMN(BV7)+1,,,"4、期末试卷原始成绩表")),"&gt;="&amp;PERCENTILE(INDIRECT(ADDRESS(2,COLUMN(BV7)+1,,,"4、期末试卷原始成绩表")):INDIRECT(ADDRESS(($B$1+1),COLUMN(BV7)+1,,,"4、期末试卷原始成绩表")),0.73))-AVERAGEIF(INDIRECT(ADDRESS(2,COLUMN(BV7)+1,,,"4、期末试卷原始成绩表")):INDIRECT(ADDRESS(($B$1+1),COLUMN(BV7)+1,,,"4、期末试卷原始成绩表")),"&lt;="&amp;PERCENTILE(INDIRECT(ADDRESS(2,COLUMN(BV7)+1,,,"4、期末试卷原始成绩表")):INDIRECT(ADDRESS(($B$1+1),COLUMN(BV7)+1,,,"4、期末试卷原始成绩表")),0.27)))/期末试卷分析表!BV7)</f>
        <v> </v>
      </c>
      <c r="BW18" s="12" t="str">
        <f ca="1">IF(BW7=" "," ",(AVERAGEIF(INDIRECT(ADDRESS(2,COLUMN(BW7)+1,,,"4、期末试卷原始成绩表")):INDIRECT(ADDRESS(($B$1+1),COLUMN(BW7)+1,,,"4、期末试卷原始成绩表")),"&gt;="&amp;PERCENTILE(INDIRECT(ADDRESS(2,COLUMN(BW7)+1,,,"4、期末试卷原始成绩表")):INDIRECT(ADDRESS(($B$1+1),COLUMN(BW7)+1,,,"4、期末试卷原始成绩表")),0.73))-AVERAGEIF(INDIRECT(ADDRESS(2,COLUMN(BW7)+1,,,"4、期末试卷原始成绩表")):INDIRECT(ADDRESS(($B$1+1),COLUMN(BW7)+1,,,"4、期末试卷原始成绩表")),"&lt;="&amp;PERCENTILE(INDIRECT(ADDRESS(2,COLUMN(BW7)+1,,,"4、期末试卷原始成绩表")):INDIRECT(ADDRESS(($B$1+1),COLUMN(BW7)+1,,,"4、期末试卷原始成绩表")),0.27)))/期末试卷分析表!BW7)</f>
        <v> </v>
      </c>
      <c r="BX18" s="12" t="str">
        <f ca="1">IF(BX7=" "," ",(AVERAGEIF(INDIRECT(ADDRESS(2,COLUMN(BX7)+1,,,"4、期末试卷原始成绩表")):INDIRECT(ADDRESS(($B$1+1),COLUMN(BX7)+1,,,"4、期末试卷原始成绩表")),"&gt;="&amp;PERCENTILE(INDIRECT(ADDRESS(2,COLUMN(BX7)+1,,,"4、期末试卷原始成绩表")):INDIRECT(ADDRESS(($B$1+1),COLUMN(BX7)+1,,,"4、期末试卷原始成绩表")),0.73))-AVERAGEIF(INDIRECT(ADDRESS(2,COLUMN(BX7)+1,,,"4、期末试卷原始成绩表")):INDIRECT(ADDRESS(($B$1+1),COLUMN(BX7)+1,,,"4、期末试卷原始成绩表")),"&lt;="&amp;PERCENTILE(INDIRECT(ADDRESS(2,COLUMN(BX7)+1,,,"4、期末试卷原始成绩表")):INDIRECT(ADDRESS(($B$1+1),COLUMN(BX7)+1,,,"4、期末试卷原始成绩表")),0.27)))/期末试卷分析表!BX7)</f>
        <v> </v>
      </c>
      <c r="BY18" s="12" t="str">
        <f ca="1">IF(BY7=" "," ",(AVERAGEIF(INDIRECT(ADDRESS(2,COLUMN(BY7)+1,,,"4、期末试卷原始成绩表")):INDIRECT(ADDRESS(($B$1+1),COLUMN(BY7)+1,,,"4、期末试卷原始成绩表")),"&gt;="&amp;PERCENTILE(INDIRECT(ADDRESS(2,COLUMN(BY7)+1,,,"4、期末试卷原始成绩表")):INDIRECT(ADDRESS(($B$1+1),COLUMN(BY7)+1,,,"4、期末试卷原始成绩表")),0.73))-AVERAGEIF(INDIRECT(ADDRESS(2,COLUMN(BY7)+1,,,"4、期末试卷原始成绩表")):INDIRECT(ADDRESS(($B$1+1),COLUMN(BY7)+1,,,"4、期末试卷原始成绩表")),"&lt;="&amp;PERCENTILE(INDIRECT(ADDRESS(2,COLUMN(BY7)+1,,,"4、期末试卷原始成绩表")):INDIRECT(ADDRESS(($B$1+1),COLUMN(BY7)+1,,,"4、期末试卷原始成绩表")),0.27)))/期末试卷分析表!BY7)</f>
        <v> </v>
      </c>
      <c r="BZ18" s="12" t="str">
        <f ca="1">IF(BZ7=" "," ",(AVERAGEIF(INDIRECT(ADDRESS(2,COLUMN(BZ7)+1,,,"4、期末试卷原始成绩表")):INDIRECT(ADDRESS(($B$1+1),COLUMN(BZ7)+1,,,"4、期末试卷原始成绩表")),"&gt;="&amp;PERCENTILE(INDIRECT(ADDRESS(2,COLUMN(BZ7)+1,,,"4、期末试卷原始成绩表")):INDIRECT(ADDRESS(($B$1+1),COLUMN(BZ7)+1,,,"4、期末试卷原始成绩表")),0.73))-AVERAGEIF(INDIRECT(ADDRESS(2,COLUMN(BZ7)+1,,,"4、期末试卷原始成绩表")):INDIRECT(ADDRESS(($B$1+1),COLUMN(BZ7)+1,,,"4、期末试卷原始成绩表")),"&lt;="&amp;PERCENTILE(INDIRECT(ADDRESS(2,COLUMN(BZ7)+1,,,"4、期末试卷原始成绩表")):INDIRECT(ADDRESS(($B$1+1),COLUMN(BZ7)+1,,,"4、期末试卷原始成绩表")),0.27)))/期末试卷分析表!BZ7)</f>
        <v> </v>
      </c>
      <c r="CA18" s="12" t="str">
        <f ca="1">IF(CA7=" "," ",(AVERAGEIF(INDIRECT(ADDRESS(2,COLUMN(CA7)+1,,,"4、期末试卷原始成绩表")):INDIRECT(ADDRESS(($B$1+1),COLUMN(CA7)+1,,,"4、期末试卷原始成绩表")),"&gt;="&amp;PERCENTILE(INDIRECT(ADDRESS(2,COLUMN(CA7)+1,,,"4、期末试卷原始成绩表")):INDIRECT(ADDRESS(($B$1+1),COLUMN(CA7)+1,,,"4、期末试卷原始成绩表")),0.73))-AVERAGEIF(INDIRECT(ADDRESS(2,COLUMN(CA7)+1,,,"4、期末试卷原始成绩表")):INDIRECT(ADDRESS(($B$1+1),COLUMN(CA7)+1,,,"4、期末试卷原始成绩表")),"&lt;="&amp;PERCENTILE(INDIRECT(ADDRESS(2,COLUMN(CA7)+1,,,"4、期末试卷原始成绩表")):INDIRECT(ADDRESS(($B$1+1),COLUMN(CA7)+1,,,"4、期末试卷原始成绩表")),0.27)))/期末试卷分析表!CA7)</f>
        <v> </v>
      </c>
      <c r="CB18" s="12" t="str">
        <f ca="1">IF(CB7=" "," ",(AVERAGEIF(INDIRECT(ADDRESS(2,COLUMN(CB7)+1,,,"4、期末试卷原始成绩表")):INDIRECT(ADDRESS(($B$1+1),COLUMN(CB7)+1,,,"4、期末试卷原始成绩表")),"&gt;="&amp;PERCENTILE(INDIRECT(ADDRESS(2,COLUMN(CB7)+1,,,"4、期末试卷原始成绩表")):INDIRECT(ADDRESS(($B$1+1),COLUMN(CB7)+1,,,"4、期末试卷原始成绩表")),0.73))-AVERAGEIF(INDIRECT(ADDRESS(2,COLUMN(CB7)+1,,,"4、期末试卷原始成绩表")):INDIRECT(ADDRESS(($B$1+1),COLUMN(CB7)+1,,,"4、期末试卷原始成绩表")),"&lt;="&amp;PERCENTILE(INDIRECT(ADDRESS(2,COLUMN(CB7)+1,,,"4、期末试卷原始成绩表")):INDIRECT(ADDRESS(($B$1+1),COLUMN(CB7)+1,,,"4、期末试卷原始成绩表")),0.27)))/期末试卷分析表!CB7)</f>
        <v> </v>
      </c>
      <c r="CC18" s="12" t="str">
        <f ca="1">IF(CC7=" "," ",(AVERAGEIF(INDIRECT(ADDRESS(2,COLUMN(CC7)+1,,,"4、期末试卷原始成绩表")):INDIRECT(ADDRESS(($B$1+1),COLUMN(CC7)+1,,,"4、期末试卷原始成绩表")),"&gt;="&amp;PERCENTILE(INDIRECT(ADDRESS(2,COLUMN(CC7)+1,,,"4、期末试卷原始成绩表")):INDIRECT(ADDRESS(($B$1+1),COLUMN(CC7)+1,,,"4、期末试卷原始成绩表")),0.73))-AVERAGEIF(INDIRECT(ADDRESS(2,COLUMN(CC7)+1,,,"4、期末试卷原始成绩表")):INDIRECT(ADDRESS(($B$1+1),COLUMN(CC7)+1,,,"4、期末试卷原始成绩表")),"&lt;="&amp;PERCENTILE(INDIRECT(ADDRESS(2,COLUMN(CC7)+1,,,"4、期末试卷原始成绩表")):INDIRECT(ADDRESS(($B$1+1),COLUMN(CC7)+1,,,"4、期末试卷原始成绩表")),0.27)))/期末试卷分析表!CC7)</f>
        <v> </v>
      </c>
    </row>
    <row r="19" spans="1:81">
      <c r="A19" s="7" t="s">
        <v>796</v>
      </c>
      <c r="B19" s="12">
        <f ca="1">IF(B7=" "," ",_xlfn.VAR.S(INDIRECT(ADDRESS(2,COLUMN(B7)+1,,,"3、期末成绩")):INDIRECT(ADDRESS(($B$1+1),COLUMN(B7)+1,,,"3、期末成绩"))))</f>
        <v>0</v>
      </c>
      <c r="C19" s="12">
        <f ca="1">IF(C7=" "," ",_xlfn.VAR.S(INDIRECT(ADDRESS(2,COLUMN(C7)+1,,,"3、期末成绩")):INDIRECT(ADDRESS(($B$1+1),COLUMN(C7)+1,,,"3、期末成绩"))))</f>
        <v>0</v>
      </c>
      <c r="D19" s="12">
        <f ca="1">IF(D7=" "," ",_xlfn.VAR.S(INDIRECT(ADDRESS(2,COLUMN(D7)+1,,,"3、期末成绩")):INDIRECT(ADDRESS(($B$1+1),COLUMN(D7)+1,,,"3、期末成绩"))))</f>
        <v>0</v>
      </c>
      <c r="E19" s="12">
        <f ca="1">IF(E7=" "," ",_xlfn.VAR.S(INDIRECT(ADDRESS(2,COLUMN(E7)+1,,,"3、期末成绩")):INDIRECT(ADDRESS(($B$1+1),COLUMN(E7)+1,,,"3、期末成绩"))))</f>
        <v>0</v>
      </c>
      <c r="F19" s="12">
        <f ca="1">IF(F7=" "," ",_xlfn.VAR.S(INDIRECT(ADDRESS(2,COLUMN(F7)+1,,,"3、期末成绩")):INDIRECT(ADDRESS(($B$1+1),COLUMN(F7)+1,,,"3、期末成绩"))))</f>
        <v>0</v>
      </c>
      <c r="G19" s="12" t="str">
        <f ca="1">IF(G7=" "," ",_xlfn.VAR.S(INDIRECT(ADDRESS(2,COLUMN(G7)+1,,,"3、期末成绩")):INDIRECT(ADDRESS(($B$1+1),COLUMN(G7)+1,,,"3、期末成绩"))))</f>
        <v> </v>
      </c>
      <c r="H19" s="12" t="str">
        <f ca="1">IF(H7=" "," ",_xlfn.VAR.S(INDIRECT(ADDRESS(2,COLUMN(H7)+1,,,"3、期末成绩")):INDIRECT(ADDRESS(($B$1+1),COLUMN(H7)+1,,,"3、期末成绩"))))</f>
        <v> </v>
      </c>
      <c r="I19" s="12" t="str">
        <f ca="1">IF(I7=" "," ",_xlfn.VAR.S(INDIRECT(ADDRESS(2,COLUMN(I7)+1,,,"3、期末成绩")):INDIRECT(ADDRESS(($B$1+1),COLUMN(I7)+1,,,"3、期末成绩"))))</f>
        <v> </v>
      </c>
      <c r="J19" s="12" t="str">
        <f ca="1">IF(J7=" "," ",_xlfn.VAR.S(INDIRECT(ADDRESS(2,COLUMN(J7)+1,,,"3、期末成绩")):INDIRECT(ADDRESS(($B$1+1),COLUMN(J7)+1,,,"3、期末成绩"))))</f>
        <v> </v>
      </c>
      <c r="K19" s="12" t="str">
        <f ca="1">IF(K7=" "," ",_xlfn.VAR.S(INDIRECT(ADDRESS(2,COLUMN(K7)+1,,,"3、期末成绩")):INDIRECT(ADDRESS(($B$1+1),COLUMN(K7)+1,,,"3、期末成绩"))))</f>
        <v> </v>
      </c>
      <c r="L19" s="12" t="str">
        <f ca="1">IF(L7=" "," ",_xlfn.VAR.S(INDIRECT(ADDRESS(2,COLUMN(L7)+1,,,"3、期末成绩")):INDIRECT(ADDRESS(($B$1+1),COLUMN(L7)+1,,,"3、期末成绩"))))</f>
        <v> </v>
      </c>
      <c r="M19" s="12" t="str">
        <f ca="1">IF(M7=" "," ",_xlfn.VAR.S(INDIRECT(ADDRESS(2,COLUMN(M7)+1,,,"3、期末成绩")):INDIRECT(ADDRESS(($B$1+1),COLUMN(M7)+1,,,"3、期末成绩"))))</f>
        <v> </v>
      </c>
      <c r="N19" s="12" t="str">
        <f ca="1">IF(N7=" "," ",_xlfn.VAR.S(INDIRECT(ADDRESS(2,COLUMN(N7)+1,,,"3、期末成绩")):INDIRECT(ADDRESS(($B$1+1),COLUMN(N7)+1,,,"3、期末成绩"))))</f>
        <v> </v>
      </c>
      <c r="O19" s="12" t="str">
        <f ca="1">IF(O7=" "," ",_xlfn.VAR.S(INDIRECT(ADDRESS(2,COLUMN(O7)+1,,,"3、期末成绩")):INDIRECT(ADDRESS(($B$1+1),COLUMN(O7)+1,,,"3、期末成绩"))))</f>
        <v> </v>
      </c>
      <c r="P19" s="12" t="str">
        <f ca="1">IF(P7=" "," ",_xlfn.VAR.S(INDIRECT(ADDRESS(2,COLUMN(P7)+1,,,"3、期末成绩")):INDIRECT(ADDRESS(($B$1+1),COLUMN(P7)+1,,,"3、期末成绩"))))</f>
        <v> </v>
      </c>
      <c r="Q19" s="12" t="str">
        <f ca="1">IF(Q7=" "," ",_xlfn.VAR.S(INDIRECT(ADDRESS(2,COLUMN(Q7)+1,,,"3、期末成绩")):INDIRECT(ADDRESS(($B$1+1),COLUMN(Q7)+1,,,"3、期末成绩"))))</f>
        <v> </v>
      </c>
      <c r="R19" s="12" t="str">
        <f ca="1">IF(R7=" "," ",_xlfn.VAR.S(INDIRECT(ADDRESS(2,COLUMN(R7)+1,,,"3、期末成绩")):INDIRECT(ADDRESS(($B$1+1),COLUMN(R7)+1,,,"3、期末成绩"))))</f>
        <v> </v>
      </c>
      <c r="S19" s="12" t="str">
        <f ca="1">IF(S7=" "," ",_xlfn.VAR.S(INDIRECT(ADDRESS(2,COLUMN(S7)+1,,,"3、期末成绩")):INDIRECT(ADDRESS(($B$1+1),COLUMN(S7)+1,,,"3、期末成绩"))))</f>
        <v> </v>
      </c>
      <c r="T19" s="12" t="str">
        <f ca="1">IF(T7=" "," ",_xlfn.VAR.S(INDIRECT(ADDRESS(2,COLUMN(T7)+1,,,"3、期末成绩")):INDIRECT(ADDRESS(($B$1+1),COLUMN(T7)+1,,,"3、期末成绩"))))</f>
        <v> </v>
      </c>
      <c r="U19" s="12" t="str">
        <f ca="1">IF(U7=" "," ",_xlfn.VAR.S(INDIRECT(ADDRESS(2,COLUMN(U7)+1,,,"3、期末成绩")):INDIRECT(ADDRESS(($B$1+1),COLUMN(U7)+1,,,"3、期末成绩"))))</f>
        <v> </v>
      </c>
      <c r="V19" s="12" t="str">
        <f ca="1">IF(V7=" "," ",_xlfn.VAR.S(INDIRECT(ADDRESS(2,COLUMN(V7)+1,,,"3、期末成绩")):INDIRECT(ADDRESS(($B$1+1),COLUMN(V7)+1,,,"3、期末成绩"))))</f>
        <v> </v>
      </c>
      <c r="W19" s="12" t="str">
        <f ca="1">IF(W7=" "," ",_xlfn.VAR.S(INDIRECT(ADDRESS(2,COLUMN(W7)+1,,,"3、期末成绩")):INDIRECT(ADDRESS(($B$1+1),COLUMN(W7)+1,,,"3、期末成绩"))))</f>
        <v> </v>
      </c>
      <c r="X19" s="12" t="str">
        <f ca="1">IF(X7=" "," ",_xlfn.VAR.S(INDIRECT(ADDRESS(2,COLUMN(X7)+1,,,"3、期末成绩")):INDIRECT(ADDRESS(($B$1+1),COLUMN(X7)+1,,,"3、期末成绩"))))</f>
        <v> </v>
      </c>
      <c r="Y19" s="12" t="str">
        <f ca="1">IF(Y7=" "," ",_xlfn.VAR.S(INDIRECT(ADDRESS(2,COLUMN(Y7)+1,,,"3、期末成绩")):INDIRECT(ADDRESS(($B$1+1),COLUMN(Y7)+1,,,"3、期末成绩"))))</f>
        <v> </v>
      </c>
      <c r="Z19" s="12" t="str">
        <f ca="1">IF(Z7=" "," ",_xlfn.VAR.S(INDIRECT(ADDRESS(2,COLUMN(Z7)+1,,,"3、期末成绩")):INDIRECT(ADDRESS(($B$1+1),COLUMN(Z7)+1,,,"3、期末成绩"))))</f>
        <v> </v>
      </c>
      <c r="AA19" s="12" t="str">
        <f ca="1">IF(AA7=" "," ",_xlfn.VAR.S(INDIRECT(ADDRESS(2,COLUMN(AA7)+1,,,"3、期末成绩")):INDIRECT(ADDRESS(($B$1+1),COLUMN(AA7)+1,,,"3、期末成绩"))))</f>
        <v> </v>
      </c>
      <c r="AB19" s="12" t="str">
        <f ca="1">IF(AB7=" "," ",_xlfn.VAR.S(INDIRECT(ADDRESS(2,COLUMN(AB7)+1,,,"3、期末成绩")):INDIRECT(ADDRESS(($B$1+1),COLUMN(AB7)+1,,,"3、期末成绩"))))</f>
        <v> </v>
      </c>
      <c r="AC19" s="12" t="str">
        <f ca="1">IF(AC7=" "," ",_xlfn.VAR.S(INDIRECT(ADDRESS(2,COLUMN(AC7)+1,,,"3、期末成绩")):INDIRECT(ADDRESS(($B$1+1),COLUMN(AC7)+1,,,"3、期末成绩"))))</f>
        <v> </v>
      </c>
      <c r="AD19" s="12" t="str">
        <f ca="1">IF(AD7=" "," ",_xlfn.VAR.S(INDIRECT(ADDRESS(2,COLUMN(AD7)+1,,,"3、期末成绩")):INDIRECT(ADDRESS(($B$1+1),COLUMN(AD7)+1,,,"3、期末成绩"))))</f>
        <v> </v>
      </c>
      <c r="AE19" s="12" t="str">
        <f ca="1">IF(AE7=" "," ",_xlfn.VAR.S(INDIRECT(ADDRESS(2,COLUMN(AE7)+1,,,"3、期末成绩")):INDIRECT(ADDRESS(($B$1+1),COLUMN(AE7)+1,,,"3、期末成绩"))))</f>
        <v> </v>
      </c>
      <c r="AF19" s="12" t="str">
        <f ca="1">IF(AF7=" "," ",_xlfn.VAR.S(INDIRECT(ADDRESS(2,COLUMN(AF7)+1,,,"3、期末成绩")):INDIRECT(ADDRESS(($B$1+1),COLUMN(AF7)+1,,,"3、期末成绩"))))</f>
        <v> </v>
      </c>
      <c r="AG19" s="12" t="str">
        <f ca="1">IF(AG7=" "," ",_xlfn.VAR.S(INDIRECT(ADDRESS(2,COLUMN(AG7)+1,,,"3、期末成绩")):INDIRECT(ADDRESS(($B$1+1),COLUMN(AG7)+1,,,"3、期末成绩"))))</f>
        <v> </v>
      </c>
      <c r="AH19" s="12" t="str">
        <f ca="1">IF(AH7=" "," ",_xlfn.VAR.S(INDIRECT(ADDRESS(2,COLUMN(AH7)+1,,,"3、期末成绩")):INDIRECT(ADDRESS(($B$1+1),COLUMN(AH7)+1,,,"3、期末成绩"))))</f>
        <v> </v>
      </c>
      <c r="AI19" s="12" t="str">
        <f ca="1">IF(AI7=" "," ",_xlfn.VAR.S(INDIRECT(ADDRESS(2,COLUMN(AI7)+1,,,"3、期末成绩")):INDIRECT(ADDRESS(($B$1+1),COLUMN(AI7)+1,,,"3、期末成绩"))))</f>
        <v> </v>
      </c>
      <c r="AJ19" s="12" t="str">
        <f ca="1">IF(AJ7=" "," ",_xlfn.VAR.S(INDIRECT(ADDRESS(2,COLUMN(AJ7)+1,,,"3、期末成绩")):INDIRECT(ADDRESS(($B$1+1),COLUMN(AJ7)+1,,,"3、期末成绩"))))</f>
        <v> </v>
      </c>
      <c r="AK19" s="12" t="str">
        <f ca="1">IF(AK7=" "," ",_xlfn.VAR.S(INDIRECT(ADDRESS(2,COLUMN(AK7)+1,,,"3、期末成绩")):INDIRECT(ADDRESS(($B$1+1),COLUMN(AK7)+1,,,"3、期末成绩"))))</f>
        <v> </v>
      </c>
      <c r="AL19" s="12" t="str">
        <f ca="1">IF(AL7=" "," ",_xlfn.VAR.S(INDIRECT(ADDRESS(2,COLUMN(AL7)+1,,,"3、期末成绩")):INDIRECT(ADDRESS(($B$1+1),COLUMN(AL7)+1,,,"3、期末成绩"))))</f>
        <v> </v>
      </c>
      <c r="AM19" s="12" t="str">
        <f ca="1">IF(AM7=" "," ",_xlfn.VAR.S(INDIRECT(ADDRESS(2,COLUMN(AM7)+1,,,"3、期末成绩")):INDIRECT(ADDRESS(($B$1+1),COLUMN(AM7)+1,,,"3、期末成绩"))))</f>
        <v> </v>
      </c>
      <c r="AN19" s="12" t="str">
        <f ca="1">IF(AN7=" "," ",_xlfn.VAR.S(INDIRECT(ADDRESS(2,COLUMN(AN7)+1,,,"3、期末成绩")):INDIRECT(ADDRESS(($B$1+1),COLUMN(AN7)+1,,,"3、期末成绩"))))</f>
        <v> </v>
      </c>
      <c r="AO19" s="12" t="str">
        <f ca="1">IF(AO7=" "," ",_xlfn.VAR.S(INDIRECT(ADDRESS(2,COLUMN(AO7)+1,,,"3、期末成绩")):INDIRECT(ADDRESS(($B$1+1),COLUMN(AO7)+1,,,"3、期末成绩"))))</f>
        <v> </v>
      </c>
      <c r="AP19" s="12" t="str">
        <f ca="1">IF(AP7=" "," ",_xlfn.VAR.S(INDIRECT(ADDRESS(2,COLUMN(AP7)+1,,,"3、期末成绩")):INDIRECT(ADDRESS(($B$1+1),COLUMN(AP7)+1,,,"3、期末成绩"))))</f>
        <v> </v>
      </c>
      <c r="AQ19" s="12" t="str">
        <f ca="1">IF(AQ7=" "," ",_xlfn.VAR.S(INDIRECT(ADDRESS(2,COLUMN(AQ7)+1,,,"3、期末成绩")):INDIRECT(ADDRESS(($B$1+1),COLUMN(AQ7)+1,,,"3、期末成绩"))))</f>
        <v> </v>
      </c>
      <c r="AR19" s="12" t="str">
        <f ca="1">IF(AR7=" "," ",_xlfn.VAR.S(INDIRECT(ADDRESS(2,COLUMN(AR7)+1,,,"3、期末成绩")):INDIRECT(ADDRESS(($B$1+1),COLUMN(AR7)+1,,,"3、期末成绩"))))</f>
        <v> </v>
      </c>
      <c r="AS19" s="12" t="str">
        <f ca="1">IF(AS7=" "," ",_xlfn.VAR.S(INDIRECT(ADDRESS(2,COLUMN(AS7)+1,,,"3、期末成绩")):INDIRECT(ADDRESS(($B$1+1),COLUMN(AS7)+1,,,"3、期末成绩"))))</f>
        <v> </v>
      </c>
      <c r="AT19" s="12" t="str">
        <f ca="1">IF(AT7=" "," ",_xlfn.VAR.S(INDIRECT(ADDRESS(2,COLUMN(AT7)+1,,,"3、期末成绩")):INDIRECT(ADDRESS(($B$1+1),COLUMN(AT7)+1,,,"3、期末成绩"))))</f>
        <v> </v>
      </c>
      <c r="AU19" s="12" t="str">
        <f ca="1">IF(AU7=" "," ",_xlfn.VAR.S(INDIRECT(ADDRESS(2,COLUMN(AU7)+1,,,"3、期末成绩")):INDIRECT(ADDRESS(($B$1+1),COLUMN(AU7)+1,,,"3、期末成绩"))))</f>
        <v> </v>
      </c>
      <c r="AV19" s="12" t="str">
        <f ca="1">IF(AV7=" "," ",_xlfn.VAR.S(INDIRECT(ADDRESS(2,COLUMN(AV7)+1,,,"3、期末成绩")):INDIRECT(ADDRESS(($B$1+1),COLUMN(AV7)+1,,,"3、期末成绩"))))</f>
        <v> </v>
      </c>
      <c r="AW19" s="12" t="str">
        <f ca="1">IF(AW7=" "," ",_xlfn.VAR.S(INDIRECT(ADDRESS(2,COLUMN(AW7)+1,,,"3、期末成绩")):INDIRECT(ADDRESS(($B$1+1),COLUMN(AW7)+1,,,"3、期末成绩"))))</f>
        <v> </v>
      </c>
      <c r="AX19" s="12" t="str">
        <f ca="1">IF(AX7=" "," ",_xlfn.VAR.S(INDIRECT(ADDRESS(2,COLUMN(AX7)+1,,,"3、期末成绩")):INDIRECT(ADDRESS(($B$1+1),COLUMN(AX7)+1,,,"3、期末成绩"))))</f>
        <v> </v>
      </c>
      <c r="AY19" s="12" t="str">
        <f ca="1">IF(AY7=" "," ",_xlfn.VAR.S(INDIRECT(ADDRESS(2,COLUMN(AY7)+1,,,"3、期末成绩")):INDIRECT(ADDRESS(($B$1+1),COLUMN(AY7)+1,,,"3、期末成绩"))))</f>
        <v> </v>
      </c>
      <c r="AZ19" s="12" t="str">
        <f ca="1">IF(AZ7=" "," ",_xlfn.VAR.S(INDIRECT(ADDRESS(2,COLUMN(AZ7)+1,,,"3、期末成绩")):INDIRECT(ADDRESS(($B$1+1),COLUMN(AZ7)+1,,,"3、期末成绩"))))</f>
        <v> </v>
      </c>
      <c r="BA19" s="12" t="str">
        <f ca="1">IF(BA7=" "," ",_xlfn.VAR.S(INDIRECT(ADDRESS(2,COLUMN(BA7)+1,,,"3、期末成绩")):INDIRECT(ADDRESS(($B$1+1),COLUMN(BA7)+1,,,"3、期末成绩"))))</f>
        <v> </v>
      </c>
      <c r="BB19" s="12" t="str">
        <f ca="1">IF(BB7=" "," ",_xlfn.VAR.S(INDIRECT(ADDRESS(2,COLUMN(BB7)+1,,,"3、期末成绩")):INDIRECT(ADDRESS(($B$1+1),COLUMN(BB7)+1,,,"3、期末成绩"))))</f>
        <v> </v>
      </c>
      <c r="BC19" s="12" t="str">
        <f ca="1">IF(BC7=" "," ",_xlfn.VAR.S(INDIRECT(ADDRESS(2,COLUMN(BC7)+1,,,"3、期末成绩")):INDIRECT(ADDRESS(($B$1+1),COLUMN(BC7)+1,,,"3、期末成绩"))))</f>
        <v> </v>
      </c>
      <c r="BD19" s="12" t="str">
        <f ca="1">IF(BD7=" "," ",_xlfn.VAR.S(INDIRECT(ADDRESS(2,COLUMN(BD7)+1,,,"3、期末成绩")):INDIRECT(ADDRESS(($B$1+1),COLUMN(BD7)+1,,,"3、期末成绩"))))</f>
        <v> </v>
      </c>
      <c r="BE19" s="12" t="str">
        <f ca="1">IF(BE7=" "," ",_xlfn.VAR.S(INDIRECT(ADDRESS(2,COLUMN(BE7)+1,,,"3、期末成绩")):INDIRECT(ADDRESS(($B$1+1),COLUMN(BE7)+1,,,"3、期末成绩"))))</f>
        <v> </v>
      </c>
      <c r="BF19" s="12" t="str">
        <f ca="1">IF(BF7=" "," ",_xlfn.VAR.S(INDIRECT(ADDRESS(2,COLUMN(BF7)+1,,,"3、期末成绩")):INDIRECT(ADDRESS(($B$1+1),COLUMN(BF7)+1,,,"3、期末成绩"))))</f>
        <v> </v>
      </c>
      <c r="BG19" s="12" t="str">
        <f ca="1">IF(BG7=" "," ",_xlfn.VAR.S(INDIRECT(ADDRESS(2,COLUMN(BG7)+1,,,"3、期末成绩")):INDIRECT(ADDRESS(($B$1+1),COLUMN(BG7)+1,,,"3、期末成绩"))))</f>
        <v> </v>
      </c>
      <c r="BH19" s="12" t="str">
        <f ca="1">IF(BH7=" "," ",_xlfn.VAR.S(INDIRECT(ADDRESS(2,COLUMN(BH7)+1,,,"3、期末成绩")):INDIRECT(ADDRESS(($B$1+1),COLUMN(BH7)+1,,,"3、期末成绩"))))</f>
        <v> </v>
      </c>
      <c r="BI19" s="12" t="str">
        <f ca="1">IF(BI7=" "," ",_xlfn.VAR.S(INDIRECT(ADDRESS(2,COLUMN(BI7)+1,,,"3、期末成绩")):INDIRECT(ADDRESS(($B$1+1),COLUMN(BI7)+1,,,"3、期末成绩"))))</f>
        <v> </v>
      </c>
      <c r="BJ19" s="12" t="str">
        <f ca="1">IF(BJ7=" "," ",_xlfn.VAR.S(INDIRECT(ADDRESS(2,COLUMN(BJ7)+1,,,"3、期末成绩")):INDIRECT(ADDRESS(($B$1+1),COLUMN(BJ7)+1,,,"3、期末成绩"))))</f>
        <v> </v>
      </c>
      <c r="BK19" s="12" t="str">
        <f ca="1">IF(BK7=" "," ",_xlfn.VAR.S(INDIRECT(ADDRESS(2,COLUMN(BK7)+1,,,"3、期末成绩")):INDIRECT(ADDRESS(($B$1+1),COLUMN(BK7)+1,,,"3、期末成绩"))))</f>
        <v> </v>
      </c>
      <c r="BL19" s="12" t="str">
        <f ca="1">IF(BL7=" "," ",_xlfn.VAR.S(INDIRECT(ADDRESS(2,COLUMN(BL7)+1,,,"3、期末成绩")):INDIRECT(ADDRESS(($B$1+1),COLUMN(BL7)+1,,,"3、期末成绩"))))</f>
        <v> </v>
      </c>
      <c r="BM19" s="12" t="str">
        <f ca="1">IF(BM7=" "," ",_xlfn.VAR.S(INDIRECT(ADDRESS(2,COLUMN(BM7)+1,,,"3、期末成绩")):INDIRECT(ADDRESS(($B$1+1),COLUMN(BM7)+1,,,"3、期末成绩"))))</f>
        <v> </v>
      </c>
      <c r="BN19" s="12" t="str">
        <f ca="1">IF(BN7=" "," ",_xlfn.VAR.S(INDIRECT(ADDRESS(2,COLUMN(BN7)+1,,,"3、期末成绩")):INDIRECT(ADDRESS(($B$1+1),COLUMN(BN7)+1,,,"3、期末成绩"))))</f>
        <v> </v>
      </c>
      <c r="BO19" s="12" t="str">
        <f ca="1">IF(BO7=" "," ",_xlfn.VAR.S(INDIRECT(ADDRESS(2,COLUMN(BO7)+1,,,"3、期末成绩")):INDIRECT(ADDRESS(($B$1+1),COLUMN(BO7)+1,,,"3、期末成绩"))))</f>
        <v> </v>
      </c>
      <c r="BP19" s="12" t="str">
        <f ca="1">IF(BP7=" "," ",_xlfn.VAR.S(INDIRECT(ADDRESS(2,COLUMN(BP7)+1,,,"3、期末成绩")):INDIRECT(ADDRESS(($B$1+1),COLUMN(BP7)+1,,,"3、期末成绩"))))</f>
        <v> </v>
      </c>
      <c r="BQ19" s="12" t="str">
        <f ca="1">IF(BQ7=" "," ",_xlfn.VAR.S(INDIRECT(ADDRESS(2,COLUMN(BQ7)+1,,,"3、期末成绩")):INDIRECT(ADDRESS(($B$1+1),COLUMN(BQ7)+1,,,"3、期末成绩"))))</f>
        <v> </v>
      </c>
      <c r="BR19" s="12" t="str">
        <f ca="1">IF(BR7=" "," ",_xlfn.VAR.S(INDIRECT(ADDRESS(2,COLUMN(BR7)+1,,,"3、期末成绩")):INDIRECT(ADDRESS(($B$1+1),COLUMN(BR7)+1,,,"3、期末成绩"))))</f>
        <v> </v>
      </c>
      <c r="BS19" s="12" t="str">
        <f ca="1">IF(BS7=" "," ",_xlfn.VAR.S(INDIRECT(ADDRESS(2,COLUMN(BS7)+1,,,"3、期末成绩")):INDIRECT(ADDRESS(($B$1+1),COLUMN(BS7)+1,,,"3、期末成绩"))))</f>
        <v> </v>
      </c>
      <c r="BT19" s="12" t="str">
        <f ca="1">IF(BT7=" "," ",_xlfn.VAR.S(INDIRECT(ADDRESS(2,COLUMN(BT7)+1,,,"3、期末成绩")):INDIRECT(ADDRESS(($B$1+1),COLUMN(BT7)+1,,,"3、期末成绩"))))</f>
        <v> </v>
      </c>
      <c r="BU19" s="12" t="str">
        <f ca="1">IF(BU7=" "," ",_xlfn.VAR.S(INDIRECT(ADDRESS(2,COLUMN(BU7)+1,,,"3、期末成绩")):INDIRECT(ADDRESS(($B$1+1),COLUMN(BU7)+1,,,"3、期末成绩"))))</f>
        <v> </v>
      </c>
      <c r="BV19" s="12" t="str">
        <f ca="1">IF(BV7=" "," ",_xlfn.VAR.S(INDIRECT(ADDRESS(2,COLUMN(BV7)+1,,,"3、期末成绩")):INDIRECT(ADDRESS(($B$1+1),COLUMN(BV7)+1,,,"3、期末成绩"))))</f>
        <v> </v>
      </c>
      <c r="BW19" s="12" t="str">
        <f ca="1">IF(BW7=" "," ",_xlfn.VAR.S(INDIRECT(ADDRESS(2,COLUMN(BW7)+1,,,"3、期末成绩")):INDIRECT(ADDRESS(($B$1+1),COLUMN(BW7)+1,,,"3、期末成绩"))))</f>
        <v> </v>
      </c>
      <c r="BX19" s="12" t="str">
        <f ca="1">IF(BX7=" "," ",_xlfn.VAR.S(INDIRECT(ADDRESS(2,COLUMN(BX7)+1,,,"3、期末成绩")):INDIRECT(ADDRESS(($B$1+1),COLUMN(BX7)+1,,,"3、期末成绩"))))</f>
        <v> </v>
      </c>
      <c r="BY19" s="12" t="str">
        <f ca="1">IF(BY7=" "," ",_xlfn.VAR.S(INDIRECT(ADDRESS(2,COLUMN(BY7)+1,,,"3、期末成绩")):INDIRECT(ADDRESS(($B$1+1),COLUMN(BY7)+1,,,"3、期末成绩"))))</f>
        <v> </v>
      </c>
      <c r="BZ19" s="12" t="str">
        <f ca="1">IF(BZ7=" "," ",_xlfn.VAR.S(INDIRECT(ADDRESS(2,COLUMN(BZ7)+1,,,"3、期末成绩")):INDIRECT(ADDRESS(($B$1+1),COLUMN(BZ7)+1,,,"3、期末成绩"))))</f>
        <v> </v>
      </c>
      <c r="CA19" s="12" t="str">
        <f ca="1">IF(CA7=" "," ",_xlfn.VAR.S(INDIRECT(ADDRESS(2,COLUMN(CA7)+1,,,"3、期末成绩")):INDIRECT(ADDRESS(($B$1+1),COLUMN(CA7)+1,,,"3、期末成绩"))))</f>
        <v> </v>
      </c>
      <c r="CB19" s="12" t="str">
        <f ca="1">IF(CB7=" "," ",_xlfn.VAR.S(INDIRECT(ADDRESS(2,COLUMN(CB7)+1,,,"3、期末成绩")):INDIRECT(ADDRESS(($B$1+1),COLUMN(CB7)+1,,,"3、期末成绩"))))</f>
        <v> </v>
      </c>
      <c r="CC19" s="12" t="str">
        <f ca="1">IF(CC7=" "," ",_xlfn.VAR.S(INDIRECT(ADDRESS(2,COLUMN(CC7)+1,,,"3、期末成绩")):INDIRECT(ADDRESS(($B$1+1),COLUMN(CC7)+1,,,"3、期末成绩"))))</f>
        <v> </v>
      </c>
    </row>
    <row r="20" customFormat="1"/>
    <row r="21" spans="1:2">
      <c r="A21" s="13" t="s">
        <v>797</v>
      </c>
      <c r="B21" s="13"/>
    </row>
    <row r="22" spans="1:2">
      <c r="A22" s="7" t="s">
        <v>794</v>
      </c>
      <c r="B22" s="5">
        <f ca="1">IF(L12=" "," ",1-L12/L13)</f>
        <v>0.05</v>
      </c>
    </row>
    <row r="23" spans="1:2">
      <c r="A23" s="7" t="s">
        <v>795</v>
      </c>
      <c r="B23" s="12">
        <f ca="1">IF(L13=" "," ",(AVERAGEIF(INDIRECT(ADDRESS(2,COLUMN(CO7),,,"3、期末成绩")):INDIRECT(ADDRESS(($B$1+1),COLUMN(CO7),,,"3、期末成绩")),"&gt;="&amp;PERCENTILE(INDIRECT(ADDRESS(2,COLUMN(CO7),,,"3、期末成绩")):INDIRECT(ADDRESS(($B$1+1),COLUMN(CO7),,,"3、期末成绩")),0.73))-AVERAGEIF(INDIRECT(ADDRESS(2,COLUMN(CO7),,,"3、期末成绩")):INDIRECT(ADDRESS(($B$1+1),COLUMN(CO7),,,"3、期末成绩")),"&lt;="&amp;PERCENTILE(INDIRECT(ADDRESS(2,COLUMN(CO7),,,"3、期末成绩")):INDIRECT(ADDRESS(($B$1+1),COLUMN(CO7),,,"3、期末成绩")),0.27)))/L13)</f>
        <v>0</v>
      </c>
    </row>
    <row r="24" spans="1:4">
      <c r="A24" s="7" t="s">
        <v>798</v>
      </c>
      <c r="B24" s="12" t="e">
        <f ca="1">IF(L13=" "," ",B1/(B1-1)*(1-SUM(B19:CC19)/_xlfn.VAR.S(INDIRECT(ADDRESS(2,COLUMN(CO7),,,"3、期末成绩")):INDIRECT(ADDRESS(($B$1+1),COLUMN(CO7),,,"3、期末成绩")))))</f>
        <v>#DIV/0!</v>
      </c>
      <c r="D24" s="14"/>
    </row>
    <row r="25" spans="1:2">
      <c r="A25" s="7" t="s">
        <v>799</v>
      </c>
      <c r="B25" s="12">
        <f ca="1">SUM(B18:CC18)/[2]期末试卷试题分布表!B11</f>
        <v>0</v>
      </c>
    </row>
    <row r="26" spans="1:2">
      <c r="A26" s="7" t="s">
        <v>800</v>
      </c>
      <c r="B26" s="12" t="e">
        <f ca="1">3*(L12-MEDIAN(INDIRECT(ADDRESS(2,COLUMN(CO7),,,"4、期末试卷原始成绩表")):INDIRECT(ADDRESS(($B$1+1),COLUMN(CO7),,,"4、期末试卷原始成绩表"))))/_xlfn.STDEV.S(INDIRECT(ADDRESS(2,COLUMN(CO7),,,"4、期末试卷原始成绩表")):INDIRECT(ADDRESS(($B$1+1),COLUMN(CO7),,,"4、期末试卷原始成绩表")))</f>
        <v>#REF!</v>
      </c>
    </row>
    <row r="27" customFormat="1"/>
    <row r="28" ht="14.1" customHeight="1" spans="1:13">
      <c r="A28" s="15" t="s">
        <v>801</v>
      </c>
      <c r="B28" s="15"/>
      <c r="C28" s="15"/>
      <c r="D28" s="15"/>
      <c r="E28" s="15"/>
      <c r="F28" s="15"/>
      <c r="G28" s="15"/>
      <c r="H28" s="15"/>
      <c r="I28" s="15"/>
      <c r="J28" s="15"/>
      <c r="K28" s="15"/>
      <c r="L28" s="15"/>
      <c r="M28" s="15"/>
    </row>
    <row r="29" spans="1:13">
      <c r="A29" s="15" t="s">
        <v>802</v>
      </c>
      <c r="B29" s="15" t="s">
        <v>803</v>
      </c>
      <c r="C29" s="15"/>
      <c r="D29" s="15"/>
      <c r="E29" s="15"/>
      <c r="F29" s="15"/>
      <c r="G29" s="15"/>
      <c r="H29" s="15"/>
      <c r="I29" s="15"/>
      <c r="J29" s="15"/>
      <c r="K29" s="15"/>
      <c r="L29" s="15"/>
      <c r="M29" s="15"/>
    </row>
    <row r="30" ht="51.6" customHeight="1" spans="1:13">
      <c r="A30" s="15" t="s">
        <v>794</v>
      </c>
      <c r="B30" s="16" t="s">
        <v>804</v>
      </c>
      <c r="C30" s="16"/>
      <c r="D30" s="16"/>
      <c r="E30" s="16"/>
      <c r="F30" s="16"/>
      <c r="G30" s="16"/>
      <c r="H30" s="16"/>
      <c r="I30" s="16"/>
      <c r="J30" s="16"/>
      <c r="K30" s="16"/>
      <c r="L30" s="16"/>
      <c r="M30" s="16"/>
    </row>
    <row r="31" ht="114.9" customHeight="1" spans="1:13">
      <c r="A31" s="15" t="s">
        <v>795</v>
      </c>
      <c r="B31" s="16" t="s">
        <v>805</v>
      </c>
      <c r="C31" s="16"/>
      <c r="D31" s="16"/>
      <c r="E31" s="16"/>
      <c r="F31" s="16"/>
      <c r="G31" s="16"/>
      <c r="H31" s="16"/>
      <c r="I31" s="16"/>
      <c r="J31" s="16"/>
      <c r="K31" s="16"/>
      <c r="L31" s="16"/>
      <c r="M31" s="16"/>
    </row>
    <row r="32" ht="26.4" customHeight="1" spans="1:13">
      <c r="A32" s="15" t="s">
        <v>798</v>
      </c>
      <c r="B32" s="16" t="s">
        <v>806</v>
      </c>
      <c r="C32" s="16"/>
      <c r="D32" s="16"/>
      <c r="E32" s="16"/>
      <c r="F32" s="16"/>
      <c r="G32" s="16"/>
      <c r="H32" s="16"/>
      <c r="I32" s="16"/>
      <c r="J32" s="16"/>
      <c r="K32" s="16"/>
      <c r="L32" s="16"/>
      <c r="M32" s="16"/>
    </row>
    <row r="33" ht="54.6" customHeight="1" spans="1:13">
      <c r="A33" s="15" t="s">
        <v>799</v>
      </c>
      <c r="B33" s="16" t="s">
        <v>807</v>
      </c>
      <c r="C33" s="16"/>
      <c r="D33" s="16"/>
      <c r="E33" s="16"/>
      <c r="F33" s="16"/>
      <c r="G33" s="16"/>
      <c r="H33" s="16"/>
      <c r="I33" s="16"/>
      <c r="J33" s="16"/>
      <c r="K33" s="16"/>
      <c r="L33" s="16"/>
      <c r="M33" s="16"/>
    </row>
    <row r="34" ht="14.1" customHeight="1" spans="1:13">
      <c r="A34" s="15" t="s">
        <v>800</v>
      </c>
      <c r="B34" s="17" t="s">
        <v>808</v>
      </c>
      <c r="C34" s="17"/>
      <c r="D34" s="17"/>
      <c r="E34" s="17"/>
      <c r="F34" s="17"/>
      <c r="G34" s="17"/>
      <c r="H34" s="17"/>
      <c r="I34" s="17"/>
      <c r="J34" s="17"/>
      <c r="K34" s="17"/>
      <c r="L34" s="17"/>
      <c r="M34" s="17"/>
    </row>
  </sheetData>
  <sheetProtection password="DE0E" sheet="1" selectLockedCells="1" objects="1"/>
  <mergeCells count="9">
    <mergeCell ref="A15:CC15"/>
    <mergeCell ref="A21:B21"/>
    <mergeCell ref="A28:M28"/>
    <mergeCell ref="B29:M29"/>
    <mergeCell ref="B30:M30"/>
    <mergeCell ref="B31:M31"/>
    <mergeCell ref="B32:M32"/>
    <mergeCell ref="B33:M33"/>
    <mergeCell ref="B34:M34"/>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F13"/>
  <sheetViews>
    <sheetView workbookViewId="0">
      <selection activeCell="B4" sqref="B4"/>
    </sheetView>
  </sheetViews>
  <sheetFormatPr defaultColWidth="9" defaultRowHeight="14" outlineLevelCol="5"/>
  <cols>
    <col min="2" max="6" width="12.6666666666667" customWidth="1"/>
  </cols>
  <sheetData>
    <row r="1" ht="15" customHeight="1" spans="1:6">
      <c r="A1" s="19"/>
      <c r="B1" s="20" t="str">
        <f>'1、课程目标与考核方式'!C2</f>
        <v>平时作业</v>
      </c>
      <c r="C1" s="20">
        <f>'1、课程目标与考核方式'!D2</f>
        <v>1</v>
      </c>
      <c r="D1" s="20">
        <f>'1、课程目标与考核方式'!E2</f>
        <v>0</v>
      </c>
      <c r="E1" s="20">
        <f>'1、课程目标与考核方式'!F2</f>
        <v>0</v>
      </c>
      <c r="F1" s="20">
        <f>'1、课程目标与考核方式'!G2</f>
        <v>0</v>
      </c>
    </row>
    <row r="2" ht="15" customHeight="1" spans="1:6">
      <c r="A2" s="21"/>
      <c r="B2" s="21" t="s">
        <v>809</v>
      </c>
      <c r="C2" s="21" t="s">
        <v>809</v>
      </c>
      <c r="D2" s="21" t="s">
        <v>809</v>
      </c>
      <c r="E2" s="21" t="s">
        <v>809</v>
      </c>
      <c r="F2" s="21" t="s">
        <v>809</v>
      </c>
    </row>
    <row r="3" ht="15" customHeight="1" spans="1:6">
      <c r="A3" s="22" t="str">
        <f>IF(ISBLANK('1、课程目标与考核方式'!A3)," ",'1、课程目标与考核方式'!A3)</f>
        <v>课程目标1</v>
      </c>
      <c r="B3" s="23">
        <f>IF(ISBLANK('1、课程目标与考核方式'!C3)," ",'1、课程目标与考核方式'!C3*'1、课程目标与考核方式'!$I$13/'1、课程目标与考核方式'!$C$13)</f>
        <v>25.6666666666667</v>
      </c>
      <c r="C3" s="24">
        <f>IF(ISBLANK('1、课程目标与考核方式'!D3)," ",'1、课程目标与考核方式'!D3*'1、课程目标与考核方式'!$I$13/'1、课程目标与考核方式'!$D$13)</f>
        <v>25.6666666666667</v>
      </c>
      <c r="D3" s="24" t="str">
        <f>IF(ISBLANK('1、课程目标与考核方式'!E3)," ",'1、课程目标与考核方式'!E3*'1、课程目标与考核方式'!$I$13/'1、课程目标与考核方式'!$E$13)</f>
        <v> </v>
      </c>
      <c r="E3" s="24" t="str">
        <f>IF(ISBLANK('1、课程目标与考核方式'!F3)," ",'1、课程目标与考核方式'!F3*'1、课程目标与考核方式'!$I$13/'1、课程目标与考核方式'!$F$13)</f>
        <v> </v>
      </c>
      <c r="F3" s="24" t="str">
        <f>IF(ISBLANK('1、课程目标与考核方式'!G3)," ",'1、课程目标与考核方式'!G3*'1、课程目标与考核方式'!$I$13/'1、课程目标与考核方式'!$G$13)</f>
        <v> </v>
      </c>
    </row>
    <row r="4" ht="15" customHeight="1" spans="1:6">
      <c r="A4" s="22" t="str">
        <f>IF(ISBLANK('1、课程目标与考核方式'!A4)," ",'1、课程目标与考核方式'!A4)</f>
        <v>课程目标2</v>
      </c>
      <c r="B4" s="24">
        <f>IF(ISBLANK('1、课程目标与考核方式'!C4)," ",'1、课程目标与考核方式'!C4*'1、课程目标与考核方式'!$I$13/'1、课程目标与考核方式'!$C$13)</f>
        <v>25.6666666666667</v>
      </c>
      <c r="C4" s="24">
        <f>IF(ISBLANK('1、课程目标与考核方式'!D4)," ",'1、课程目标与考核方式'!D4*'1、课程目标与考核方式'!$I$13/'1、课程目标与考核方式'!$D$13)</f>
        <v>25.6666666666667</v>
      </c>
      <c r="D4" s="24" t="str">
        <f>IF(ISBLANK('1、课程目标与考核方式'!E4)," ",'1、课程目标与考核方式'!E4*'1、课程目标与考核方式'!$I$13/'1、课程目标与考核方式'!$E$13)</f>
        <v> </v>
      </c>
      <c r="E4" s="24" t="str">
        <f>IF(ISBLANK('1、课程目标与考核方式'!F4)," ",'1、课程目标与考核方式'!F4*'1、课程目标与考核方式'!$I$13/'1、课程目标与考核方式'!$F$13)</f>
        <v> </v>
      </c>
      <c r="F4" s="24" t="str">
        <f>IF(ISBLANK('1、课程目标与考核方式'!G4)," ",'1、课程目标与考核方式'!G4*'1、课程目标与考核方式'!$I$13/'1、课程目标与考核方式'!$G$13)</f>
        <v> </v>
      </c>
    </row>
    <row r="5" ht="15" customHeight="1" spans="1:6">
      <c r="A5" s="22" t="str">
        <f>IF(ISBLANK('1、课程目标与考核方式'!A5)," ",'1、课程目标与考核方式'!A5)</f>
        <v>课程目标3</v>
      </c>
      <c r="B5" s="24">
        <f>IF(ISBLANK('1、课程目标与考核方式'!C5)," ",'1、课程目标与考核方式'!C5*'1、课程目标与考核方式'!$I$13/'1、课程目标与考核方式'!$C$13)</f>
        <v>25.6666666666667</v>
      </c>
      <c r="C5" s="24">
        <f>IF(ISBLANK('1、课程目标与考核方式'!D5)," ",'1、课程目标与考核方式'!D5*'1、课程目标与考核方式'!$I$13/'1、课程目标与考核方式'!$D$13)</f>
        <v>25.6666666666667</v>
      </c>
      <c r="D5" s="24" t="str">
        <f>IF(ISBLANK('1、课程目标与考核方式'!E5)," ",'1、课程目标与考核方式'!E5*'1、课程目标与考核方式'!$I$13/'1、课程目标与考核方式'!$E$13)</f>
        <v> </v>
      </c>
      <c r="E5" s="24" t="str">
        <f>IF(ISBLANK('1、课程目标与考核方式'!F5)," ",'1、课程目标与考核方式'!F5*'1、课程目标与考核方式'!$I$13/'1、课程目标与考核方式'!$F$13)</f>
        <v> </v>
      </c>
      <c r="F5" s="24" t="str">
        <f>IF(ISBLANK('1、课程目标与考核方式'!G5)," ",'1、课程目标与考核方式'!G5*'1、课程目标与考核方式'!$I$13/'1、课程目标与考核方式'!$G$13)</f>
        <v> </v>
      </c>
    </row>
    <row r="6" ht="15" customHeight="1" spans="1:6">
      <c r="A6" s="22" t="str">
        <f>IF(ISBLANK('1、课程目标与考核方式'!A6)," ",'1、课程目标与考核方式'!A6)</f>
        <v> </v>
      </c>
      <c r="B6" s="24" t="str">
        <f>IF(ISBLANK('1、课程目标与考核方式'!C6)," ",'1、课程目标与考核方式'!C6*'1、课程目标与考核方式'!$I$13/'1、课程目标与考核方式'!$C$13)</f>
        <v> </v>
      </c>
      <c r="C6" s="24" t="str">
        <f>IF(ISBLANK('1、课程目标与考核方式'!D6)," ",'1、课程目标与考核方式'!D6*'1、课程目标与考核方式'!$I$13/'1、课程目标与考核方式'!$D$13)</f>
        <v> </v>
      </c>
      <c r="D6" s="24" t="str">
        <f>IF(ISBLANK('1、课程目标与考核方式'!E6)," ",'1、课程目标与考核方式'!E6*'1、课程目标与考核方式'!$I$13/'1、课程目标与考核方式'!$E$13)</f>
        <v> </v>
      </c>
      <c r="E6" s="24" t="str">
        <f>IF(ISBLANK('1、课程目标与考核方式'!F6)," ",'1、课程目标与考核方式'!F6*'1、课程目标与考核方式'!$I$13/'1、课程目标与考核方式'!$F$13)</f>
        <v> </v>
      </c>
      <c r="F6" s="24" t="str">
        <f>IF(ISBLANK('1、课程目标与考核方式'!G6)," ",'1、课程目标与考核方式'!G6*'1、课程目标与考核方式'!$I$13/'1、课程目标与考核方式'!$G$13)</f>
        <v> </v>
      </c>
    </row>
    <row r="7" ht="15" customHeight="1" spans="1:6">
      <c r="A7" s="22" t="str">
        <f>IF(ISBLANK('1、课程目标与考核方式'!A7)," ",'1、课程目标与考核方式'!A7)</f>
        <v> </v>
      </c>
      <c r="B7" s="24" t="str">
        <f>IF(ISBLANK('1、课程目标与考核方式'!C7)," ",'1、课程目标与考核方式'!C7*'1、课程目标与考核方式'!$I$13/'1、课程目标与考核方式'!$C$13)</f>
        <v> </v>
      </c>
      <c r="C7" s="24" t="str">
        <f>IF(ISBLANK('1、课程目标与考核方式'!D7)," ",'1、课程目标与考核方式'!D7*'1、课程目标与考核方式'!$I$13/'1、课程目标与考核方式'!$D$13)</f>
        <v> </v>
      </c>
      <c r="D7" s="24" t="str">
        <f>IF(ISBLANK('1、课程目标与考核方式'!E7)," ",'1、课程目标与考核方式'!E7*'1、课程目标与考核方式'!$I$13/'1、课程目标与考核方式'!$E$13)</f>
        <v> </v>
      </c>
      <c r="E7" s="24" t="str">
        <f>IF(ISBLANK('1、课程目标与考核方式'!F7)," ",'1、课程目标与考核方式'!F7*'1、课程目标与考核方式'!$I$13/'1、课程目标与考核方式'!$F$13)</f>
        <v> </v>
      </c>
      <c r="F7" s="24" t="str">
        <f>IF(ISBLANK('1、课程目标与考核方式'!G7)," ",'1、课程目标与考核方式'!G7*'1、课程目标与考核方式'!$I$13/'1、课程目标与考核方式'!$G$13)</f>
        <v> </v>
      </c>
    </row>
    <row r="8" ht="15" customHeight="1" spans="1:6">
      <c r="A8" s="22" t="str">
        <f>IF(ISBLANK('1、课程目标与考核方式'!A8)," ",'1、课程目标与考核方式'!A8)</f>
        <v> </v>
      </c>
      <c r="B8" s="24" t="str">
        <f>IF(ISBLANK('1、课程目标与考核方式'!C8)," ",'1、课程目标与考核方式'!C8*'1、课程目标与考核方式'!$I$13/'1、课程目标与考核方式'!$C$13)</f>
        <v> </v>
      </c>
      <c r="C8" s="24" t="str">
        <f>IF(ISBLANK('1、课程目标与考核方式'!D8)," ",'1、课程目标与考核方式'!D8*'1、课程目标与考核方式'!$I$13/'1、课程目标与考核方式'!$D$13)</f>
        <v> </v>
      </c>
      <c r="D8" s="24" t="str">
        <f>IF(ISBLANK('1、课程目标与考核方式'!E8)," ",'1、课程目标与考核方式'!E8*'1、课程目标与考核方式'!$I$13/'1、课程目标与考核方式'!$E$13)</f>
        <v> </v>
      </c>
      <c r="E8" s="24" t="str">
        <f>IF(ISBLANK('1、课程目标与考核方式'!F8)," ",'1、课程目标与考核方式'!F8*'1、课程目标与考核方式'!$I$13/'1、课程目标与考核方式'!$F$13)</f>
        <v> </v>
      </c>
      <c r="F8" s="24" t="str">
        <f>IF(ISBLANK('1、课程目标与考核方式'!G8)," ",'1、课程目标与考核方式'!G8*'1、课程目标与考核方式'!$I$13/'1、课程目标与考核方式'!$G$13)</f>
        <v> </v>
      </c>
    </row>
    <row r="9" ht="15" customHeight="1" spans="1:6">
      <c r="A9" s="22" t="str">
        <f>IF(ISBLANK('1、课程目标与考核方式'!A9)," ",'1、课程目标与考核方式'!A9)</f>
        <v> </v>
      </c>
      <c r="B9" s="24" t="str">
        <f>IF(ISBLANK('1、课程目标与考核方式'!C9)," ",'1、课程目标与考核方式'!C9*'1、课程目标与考核方式'!$I$13/'1、课程目标与考核方式'!$C$13)</f>
        <v> </v>
      </c>
      <c r="C9" s="24" t="str">
        <f>IF(ISBLANK('1、课程目标与考核方式'!D9)," ",'1、课程目标与考核方式'!D9*'1、课程目标与考核方式'!$I$13/'1、课程目标与考核方式'!$D$13)</f>
        <v> </v>
      </c>
      <c r="D9" s="24" t="str">
        <f>IF(ISBLANK('1、课程目标与考核方式'!E9)," ",'1、课程目标与考核方式'!E9*'1、课程目标与考核方式'!$I$13/'1、课程目标与考核方式'!$E$13)</f>
        <v> </v>
      </c>
      <c r="E9" s="24" t="str">
        <f>IF(ISBLANK('1、课程目标与考核方式'!F9)," ",'1、课程目标与考核方式'!F9*'1、课程目标与考核方式'!$I$13/'1、课程目标与考核方式'!$F$13)</f>
        <v> </v>
      </c>
      <c r="F9" s="24" t="str">
        <f>IF(ISBLANK('1、课程目标与考核方式'!G9)," ",'1、课程目标与考核方式'!G9*'1、课程目标与考核方式'!$I$13/'1、课程目标与考核方式'!$G$13)</f>
        <v> </v>
      </c>
    </row>
    <row r="10" ht="15" customHeight="1" spans="1:6">
      <c r="A10" s="22" t="e">
        <f>IF(ISBLANK('1、课程目标与考核方式'!#REF!)," ",'1、课程目标与考核方式'!#REF!)</f>
        <v>#REF!</v>
      </c>
      <c r="B10" s="24" t="e">
        <f>IF(ISBLANK('1、课程目标与考核方式'!#REF!)," ",'1、课程目标与考核方式'!#REF!*'1、课程目标与考核方式'!$I$13/'1、课程目标与考核方式'!$C$13)</f>
        <v>#REF!</v>
      </c>
      <c r="C10" s="24" t="e">
        <f>IF(ISBLANK('1、课程目标与考核方式'!#REF!)," ",'1、课程目标与考核方式'!#REF!*'1、课程目标与考核方式'!$I$13/'1、课程目标与考核方式'!$D$13)</f>
        <v>#REF!</v>
      </c>
      <c r="D10" s="24" t="e">
        <f>IF(ISBLANK('1、课程目标与考核方式'!#REF!)," ",'1、课程目标与考核方式'!#REF!*'1、课程目标与考核方式'!$I$13/'1、课程目标与考核方式'!$E$13)</f>
        <v>#REF!</v>
      </c>
      <c r="E10" s="24" t="e">
        <f>IF(ISBLANK('1、课程目标与考核方式'!#REF!)," ",'1、课程目标与考核方式'!#REF!*'1、课程目标与考核方式'!$I$13/'1、课程目标与考核方式'!$F$13)</f>
        <v>#REF!</v>
      </c>
      <c r="F10" s="24" t="e">
        <f>IF(ISBLANK('1、课程目标与考核方式'!#REF!)," ",'1、课程目标与考核方式'!#REF!*'1、课程目标与考核方式'!$I$13/'1、课程目标与考核方式'!$G$13)</f>
        <v>#REF!</v>
      </c>
    </row>
    <row r="11" ht="15" customHeight="1" spans="1:6">
      <c r="A11" s="22" t="e">
        <f>IF(ISBLANK('1、课程目标与考核方式'!#REF!)," ",'1、课程目标与考核方式'!#REF!)</f>
        <v>#REF!</v>
      </c>
      <c r="B11" s="24" t="e">
        <f>IF(ISBLANK('1、课程目标与考核方式'!#REF!)," ",'1、课程目标与考核方式'!#REF!*'1、课程目标与考核方式'!$I$13/'1、课程目标与考核方式'!$C$13)</f>
        <v>#REF!</v>
      </c>
      <c r="C11" s="24" t="e">
        <f>IF(ISBLANK('1、课程目标与考核方式'!#REF!)," ",'1、课程目标与考核方式'!#REF!*'1、课程目标与考核方式'!$I$13/'1、课程目标与考核方式'!$D$13)</f>
        <v>#REF!</v>
      </c>
      <c r="D11" s="24" t="e">
        <f>IF(ISBLANK('1、课程目标与考核方式'!#REF!)," ",'1、课程目标与考核方式'!#REF!*'1、课程目标与考核方式'!$I$13/'1、课程目标与考核方式'!$E$13)</f>
        <v>#REF!</v>
      </c>
      <c r="E11" s="24" t="e">
        <f>IF(ISBLANK('1、课程目标与考核方式'!#REF!)," ",'1、课程目标与考核方式'!#REF!*'1、课程目标与考核方式'!$I$13/'1、课程目标与考核方式'!$F$13)</f>
        <v>#REF!</v>
      </c>
      <c r="F11" s="24" t="e">
        <f>IF(ISBLANK('1、课程目标与考核方式'!#REF!)," ",'1、课程目标与考核方式'!#REF!*'1、课程目标与考核方式'!$I$13/'1、课程目标与考核方式'!$G$13)</f>
        <v>#REF!</v>
      </c>
    </row>
    <row r="12" ht="15" customHeight="1" spans="1:6">
      <c r="A12" s="22" t="str">
        <f>IF(ISBLANK('1、课程目标与考核方式'!A12)," ",'1、课程目标与考核方式'!A12)</f>
        <v> </v>
      </c>
      <c r="B12" s="24" t="str">
        <f>IF(ISBLANK('1、课程目标与考核方式'!C12)," ",'1、课程目标与考核方式'!C12*'1、课程目标与考核方式'!$I$13/'1、课程目标与考核方式'!$C$13)</f>
        <v> </v>
      </c>
      <c r="C12" s="24" t="str">
        <f>IF(ISBLANK('1、课程目标与考核方式'!D12)," ",'1、课程目标与考核方式'!D12*'1、课程目标与考核方式'!$I$13/'1、课程目标与考核方式'!$D$13)</f>
        <v> </v>
      </c>
      <c r="D12" s="24" t="str">
        <f>IF(ISBLANK('1、课程目标与考核方式'!E12)," ",'1、课程目标与考核方式'!E12*'1、课程目标与考核方式'!$I$13/'1、课程目标与考核方式'!$E$13)</f>
        <v> </v>
      </c>
      <c r="E12" s="24" t="str">
        <f>IF(ISBLANK('1、课程目标与考核方式'!F12)," ",'1、课程目标与考核方式'!F12*'1、课程目标与考核方式'!$I$13/'1、课程目标与考核方式'!$F$13)</f>
        <v> </v>
      </c>
      <c r="F12" s="24" t="str">
        <f>IF(ISBLANK('1、课程目标与考核方式'!G12)," ",'1、课程目标与考核方式'!G12*'1、课程目标与考核方式'!$I$13/'1、课程目标与考核方式'!$G$13)</f>
        <v> </v>
      </c>
    </row>
    <row r="13" ht="15" customHeight="1" spans="1:6">
      <c r="A13" s="21" t="s">
        <v>50</v>
      </c>
      <c r="B13" s="19" t="e">
        <f>SUM(B3:B12)</f>
        <v>#REF!</v>
      </c>
      <c r="C13" s="19" t="e">
        <f t="shared" ref="C13:F13" si="0">SUM(C3:C12)</f>
        <v>#REF!</v>
      </c>
      <c r="D13" s="19" t="e">
        <f t="shared" si="0"/>
        <v>#REF!</v>
      </c>
      <c r="E13" s="19" t="e">
        <f t="shared" si="0"/>
        <v>#REF!</v>
      </c>
      <c r="F13" s="19" t="e">
        <f t="shared" si="0"/>
        <v>#REF!</v>
      </c>
    </row>
  </sheetData>
  <sheetProtection password="C71F" sheet="1" formatCells="0" insertRows="0" insertColumns="0" insertHyperlinks="0" deleteColumns="0" deleteRows="0" objects="1" scenarios="1"/>
  <pageMargins left="0.699305555555556" right="0.699305555555556" top="0.75" bottom="0.75" header="0.3" footer="0.3"/>
  <pageSetup paperSize="9" orientation="portrait"/>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CC34"/>
  <sheetViews>
    <sheetView workbookViewId="0">
      <selection activeCell="U4" sqref="U4"/>
    </sheetView>
  </sheetViews>
  <sheetFormatPr defaultColWidth="9" defaultRowHeight="14"/>
  <cols>
    <col min="1" max="1" width="10.6666666666667" customWidth="1"/>
    <col min="2" max="2" width="12.2166666666667" customWidth="1"/>
  </cols>
  <sheetData>
    <row r="1" spans="1:2">
      <c r="A1" s="4" t="s">
        <v>788</v>
      </c>
      <c r="B1" s="4">
        <f>COUNTA('3、期末成绩'!$A$2:$A$201)</f>
        <v>70</v>
      </c>
    </row>
    <row r="3" spans="1:81">
      <c r="A3" s="5"/>
      <c r="B3" s="6" t="s">
        <v>73</v>
      </c>
      <c r="C3" s="6" t="s">
        <v>76</v>
      </c>
      <c r="D3" s="6" t="s">
        <v>78</v>
      </c>
      <c r="E3" s="6" t="s">
        <v>80</v>
      </c>
      <c r="F3" s="6" t="s">
        <v>81</v>
      </c>
      <c r="G3" s="6" t="s">
        <v>85</v>
      </c>
      <c r="H3" s="6" t="s">
        <v>86</v>
      </c>
      <c r="I3" s="6" t="s">
        <v>87</v>
      </c>
      <c r="J3" s="6" t="s">
        <v>88</v>
      </c>
      <c r="K3" s="6" t="s">
        <v>89</v>
      </c>
      <c r="L3" s="6" t="s">
        <v>90</v>
      </c>
      <c r="M3" s="6" t="s">
        <v>91</v>
      </c>
      <c r="N3" s="6" t="s">
        <v>92</v>
      </c>
      <c r="O3" s="6" t="s">
        <v>93</v>
      </c>
      <c r="P3" s="6" t="s">
        <v>94</v>
      </c>
      <c r="Q3" s="6" t="s">
        <v>95</v>
      </c>
      <c r="R3" s="6" t="s">
        <v>96</v>
      </c>
      <c r="S3" s="6" t="s">
        <v>97</v>
      </c>
      <c r="T3" s="6" t="s">
        <v>98</v>
      </c>
      <c r="U3" s="6" t="s">
        <v>99</v>
      </c>
      <c r="V3" s="6" t="s">
        <v>100</v>
      </c>
      <c r="W3" s="6" t="s">
        <v>101</v>
      </c>
      <c r="X3" s="6" t="s">
        <v>102</v>
      </c>
      <c r="Y3" s="6" t="s">
        <v>103</v>
      </c>
      <c r="Z3" s="6" t="s">
        <v>104</v>
      </c>
      <c r="AA3" s="6" t="s">
        <v>105</v>
      </c>
      <c r="AB3" s="6" t="s">
        <v>106</v>
      </c>
      <c r="AC3" s="6" t="s">
        <v>107</v>
      </c>
      <c r="AD3" s="6" t="s">
        <v>108</v>
      </c>
      <c r="AE3" s="6" t="s">
        <v>109</v>
      </c>
      <c r="AF3" s="6" t="s">
        <v>110</v>
      </c>
      <c r="AG3" s="6" t="s">
        <v>111</v>
      </c>
      <c r="AH3" s="6" t="s">
        <v>112</v>
      </c>
      <c r="AI3" s="6" t="s">
        <v>113</v>
      </c>
      <c r="AJ3" s="6" t="s">
        <v>114</v>
      </c>
      <c r="AK3" s="6" t="s">
        <v>115</v>
      </c>
      <c r="AL3" s="6" t="s">
        <v>116</v>
      </c>
      <c r="AM3" s="6" t="s">
        <v>117</v>
      </c>
      <c r="AN3" s="6" t="s">
        <v>118</v>
      </c>
      <c r="AO3" s="6" t="s">
        <v>119</v>
      </c>
      <c r="AP3" s="6" t="s">
        <v>120</v>
      </c>
      <c r="AQ3" s="6" t="s">
        <v>121</v>
      </c>
      <c r="AR3" s="6" t="s">
        <v>122</v>
      </c>
      <c r="AS3" s="6" t="s">
        <v>123</v>
      </c>
      <c r="AT3" s="6" t="s">
        <v>124</v>
      </c>
      <c r="AU3" s="6" t="s">
        <v>125</v>
      </c>
      <c r="AV3" s="6" t="s">
        <v>126</v>
      </c>
      <c r="AW3" s="6" t="s">
        <v>127</v>
      </c>
      <c r="AX3" s="6" t="s">
        <v>128</v>
      </c>
      <c r="AY3" s="6" t="s">
        <v>129</v>
      </c>
      <c r="AZ3" s="6" t="s">
        <v>130</v>
      </c>
      <c r="BA3" s="6" t="s">
        <v>131</v>
      </c>
      <c r="BB3" s="6" t="s">
        <v>132</v>
      </c>
      <c r="BC3" s="6" t="s">
        <v>133</v>
      </c>
      <c r="BD3" s="6" t="s">
        <v>134</v>
      </c>
      <c r="BE3" s="6" t="s">
        <v>135</v>
      </c>
      <c r="BF3" s="6" t="s">
        <v>136</v>
      </c>
      <c r="BG3" s="6" t="s">
        <v>137</v>
      </c>
      <c r="BH3" s="6" t="s">
        <v>138</v>
      </c>
      <c r="BI3" s="6" t="s">
        <v>139</v>
      </c>
      <c r="BJ3" s="6" t="s">
        <v>140</v>
      </c>
      <c r="BK3" s="6" t="s">
        <v>141</v>
      </c>
      <c r="BL3" s="6" t="s">
        <v>142</v>
      </c>
      <c r="BM3" s="6" t="s">
        <v>143</v>
      </c>
      <c r="BN3" s="6" t="s">
        <v>144</v>
      </c>
      <c r="BO3" s="6" t="s">
        <v>145</v>
      </c>
      <c r="BP3" s="6" t="s">
        <v>146</v>
      </c>
      <c r="BQ3" s="6" t="s">
        <v>147</v>
      </c>
      <c r="BR3" s="6" t="s">
        <v>148</v>
      </c>
      <c r="BS3" s="6" t="s">
        <v>149</v>
      </c>
      <c r="BT3" s="6" t="s">
        <v>150</v>
      </c>
      <c r="BU3" s="6" t="s">
        <v>151</v>
      </c>
      <c r="BV3" s="6" t="s">
        <v>152</v>
      </c>
      <c r="BW3" s="6" t="s">
        <v>153</v>
      </c>
      <c r="BX3" s="6" t="s">
        <v>154</v>
      </c>
      <c r="BY3" s="6" t="s">
        <v>155</v>
      </c>
      <c r="BZ3" s="6" t="s">
        <v>156</v>
      </c>
      <c r="CA3" s="6" t="s">
        <v>157</v>
      </c>
      <c r="CB3" s="6" t="s">
        <v>158</v>
      </c>
      <c r="CC3" s="6" t="s">
        <v>159</v>
      </c>
    </row>
    <row r="4" spans="1:81">
      <c r="A4" s="7" t="s">
        <v>789</v>
      </c>
      <c r="B4" s="8" t="e">
        <f ca="1">IF(ISBLANK('3、期末成绩'!C2)," ",SUM(INDIRECT(ADDRESS(2,COLUMN(B4)+1,,,"期末试卷原始成绩表")):INDIRECT(ADDRESS(($B$1+1),COLUMN(B4)+1,,,"期末试卷原始成绩表"))))</f>
        <v>#REF!</v>
      </c>
      <c r="C4" s="8" t="e">
        <f ca="1">IF(ISBLANK('3、期末成绩'!D2)," ",SUM(INDIRECT(ADDRESS(2,COLUMN(C4)+1,,,"期末试卷原始成绩表")):INDIRECT(ADDRESS(($B$1+1),COLUMN(C4)+1,,,"期末试卷原始成绩表"))))</f>
        <v>#REF!</v>
      </c>
      <c r="D4" s="8" t="e">
        <f ca="1">IF(ISBLANK('3、期末成绩'!E2)," ",SUM(INDIRECT(ADDRESS(2,COLUMN(D4)+1,,,"期末试卷原始成绩表")):INDIRECT(ADDRESS(($B$1+1),COLUMN(D4)+1,,,"期末试卷原始成绩表"))))</f>
        <v>#REF!</v>
      </c>
      <c r="E4" s="8" t="e">
        <f ca="1">IF(ISBLANK('3、期末成绩'!F2)," ",SUM(INDIRECT(ADDRESS(2,COLUMN(E4)+1,,,"期末试卷原始成绩表")):INDIRECT(ADDRESS(($B$1+1),COLUMN(E4)+1,,,"期末试卷原始成绩表"))))</f>
        <v>#REF!</v>
      </c>
      <c r="F4" s="8" t="e">
        <f ca="1">IF(ISBLANK('3、期末成绩'!G2)," ",SUM(INDIRECT(ADDRESS(2,COLUMN(F4)+1,,,"期末试卷原始成绩表")):INDIRECT(ADDRESS(($B$1+1),COLUMN(F4)+1,,,"期末试卷原始成绩表"))))</f>
        <v>#REF!</v>
      </c>
      <c r="G4" s="8" t="str">
        <f ca="1">IF(ISBLANK('3、期末成绩'!H2)," ",SUM(INDIRECT(ADDRESS(2,COLUMN(G4)+1,,,"期末试卷原始成绩表")):INDIRECT(ADDRESS(($B$1+1),COLUMN(G4)+1,,,"期末试卷原始成绩表"))))</f>
        <v> </v>
      </c>
      <c r="H4" s="8" t="str">
        <f ca="1">IF(ISBLANK('3、期末成绩'!I2)," ",SUM(INDIRECT(ADDRESS(2,COLUMN(H4)+1,,,"期末试卷原始成绩表")):INDIRECT(ADDRESS(($B$1+1),COLUMN(H4)+1,,,"期末试卷原始成绩表"))))</f>
        <v> </v>
      </c>
      <c r="I4" s="8" t="str">
        <f ca="1">IF(ISBLANK('3、期末成绩'!J2)," ",SUM(INDIRECT(ADDRESS(2,COLUMN(I4)+1,,,"期末试卷原始成绩表")):INDIRECT(ADDRESS(($B$1+1),COLUMN(I4)+1,,,"期末试卷原始成绩表"))))</f>
        <v> </v>
      </c>
      <c r="J4" s="8" t="str">
        <f ca="1">IF(ISBLANK('3、期末成绩'!K2)," ",SUM(INDIRECT(ADDRESS(2,COLUMN(J4)+1,,,"期末试卷原始成绩表")):INDIRECT(ADDRESS(($B$1+1),COLUMN(J4)+1,,,"期末试卷原始成绩表"))))</f>
        <v> </v>
      </c>
      <c r="K4" s="8" t="str">
        <f ca="1">IF(ISBLANK('3、期末成绩'!L2)," ",SUM(INDIRECT(ADDRESS(2,COLUMN(K4)+1,,,"期末试卷原始成绩表")):INDIRECT(ADDRESS(($B$1+1),COLUMN(K4)+1,,,"期末试卷原始成绩表"))))</f>
        <v> </v>
      </c>
      <c r="L4" s="8" t="str">
        <f ca="1">IF(ISBLANK('3、期末成绩'!M2)," ",SUM(INDIRECT(ADDRESS(2,COLUMN(L4)+1,,,"期末试卷原始成绩表")):INDIRECT(ADDRESS(($B$1+1),COLUMN(L4)+1,,,"期末试卷原始成绩表"))))</f>
        <v> </v>
      </c>
      <c r="M4" s="8" t="str">
        <f ca="1">IF(ISBLANK('3、期末成绩'!N2)," ",SUM(INDIRECT(ADDRESS(2,COLUMN(M4)+1,,,"期末试卷原始成绩表")):INDIRECT(ADDRESS(($B$1+1),COLUMN(M4)+1,,,"期末试卷原始成绩表"))))</f>
        <v> </v>
      </c>
      <c r="N4" s="8" t="str">
        <f ca="1">IF(ISBLANK('3、期末成绩'!O2)," ",SUM(INDIRECT(ADDRESS(2,COLUMN(N4)+1,,,"期末试卷原始成绩表")):INDIRECT(ADDRESS(($B$1+1),COLUMN(N4)+1,,,"期末试卷原始成绩表"))))</f>
        <v> </v>
      </c>
      <c r="O4" s="8" t="str">
        <f ca="1">IF(ISBLANK('3、期末成绩'!P2)," ",SUM(INDIRECT(ADDRESS(2,COLUMN(O4)+1,,,"期末试卷原始成绩表")):INDIRECT(ADDRESS(($B$1+1),COLUMN(O4)+1,,,"期末试卷原始成绩表"))))</f>
        <v> </v>
      </c>
      <c r="P4" s="8" t="str">
        <f ca="1">IF(ISBLANK('3、期末成绩'!Q2)," ",SUM(INDIRECT(ADDRESS(2,COLUMN(P4)+1,,,"期末试卷原始成绩表")):INDIRECT(ADDRESS(($B$1+1),COLUMN(P4)+1,,,"期末试卷原始成绩表"))))</f>
        <v> </v>
      </c>
      <c r="Q4" s="8" t="str">
        <f ca="1">IF(ISBLANK('3、期末成绩'!R2)," ",SUM(INDIRECT(ADDRESS(2,COLUMN(Q4)+1,,,"期末试卷原始成绩表")):INDIRECT(ADDRESS(($B$1+1),COLUMN(Q4)+1,,,"期末试卷原始成绩表"))))</f>
        <v> </v>
      </c>
      <c r="R4" s="8" t="str">
        <f ca="1">IF(ISBLANK('3、期末成绩'!S2)," ",SUM(INDIRECT(ADDRESS(2,COLUMN(R4)+1,,,"期末试卷原始成绩表")):INDIRECT(ADDRESS(($B$1+1),COLUMN(R4)+1,,,"期末试卷原始成绩表"))))</f>
        <v> </v>
      </c>
      <c r="S4" s="8" t="str">
        <f ca="1">IF(ISBLANK('3、期末成绩'!T2)," ",SUM(INDIRECT(ADDRESS(2,COLUMN(S4)+1,,,"期末试卷原始成绩表")):INDIRECT(ADDRESS(($B$1+1),COLUMN(S4)+1,,,"期末试卷原始成绩表"))))</f>
        <v> </v>
      </c>
      <c r="T4" s="8" t="str">
        <f ca="1">IF(ISBLANK('3、期末成绩'!U2)," ",SUM(INDIRECT(ADDRESS(2,COLUMN(T4)+1,,,"期末试卷原始成绩表")):INDIRECT(ADDRESS(($B$1+1),COLUMN(T4)+1,,,"期末试卷原始成绩表"))))</f>
        <v> </v>
      </c>
      <c r="U4" s="8" t="str">
        <f ca="1">IF(ISBLANK('3、期末成绩'!W2)," ",SUM(INDIRECT(ADDRESS(2,COLUMN(U4)+1,,,"期末试卷原始成绩表")):INDIRECT(ADDRESS(($B$1+1),COLUMN(U4)+1,,,"期末试卷原始成绩表"))))</f>
        <v> </v>
      </c>
      <c r="V4" s="8" t="str">
        <f ca="1">IF(ISBLANK('3、期末成绩'!X2)," ",SUM(INDIRECT(ADDRESS(2,COLUMN(V4)+1,,,"期末试卷原始成绩表")):INDIRECT(ADDRESS(($B$1+1),COLUMN(V4)+1,,,"期末试卷原始成绩表"))))</f>
        <v> </v>
      </c>
      <c r="W4" s="8" t="str">
        <f ca="1">IF(ISBLANK('3、期末成绩'!Y2)," ",SUM(INDIRECT(ADDRESS(2,COLUMN(W4)+1,,,"期末试卷原始成绩表")):INDIRECT(ADDRESS(($B$1+1),COLUMN(W4)+1,,,"期末试卷原始成绩表"))))</f>
        <v> </v>
      </c>
      <c r="X4" s="8" t="str">
        <f ca="1">IF(ISBLANK('3、期末成绩'!Z2)," ",SUM(INDIRECT(ADDRESS(2,COLUMN(X4)+1,,,"期末试卷原始成绩表")):INDIRECT(ADDRESS(($B$1+1),COLUMN(X4)+1,,,"期末试卷原始成绩表"))))</f>
        <v> </v>
      </c>
      <c r="Y4" s="8" t="str">
        <f ca="1">IF(ISBLANK('3、期末成绩'!AA2)," ",SUM(INDIRECT(ADDRESS(2,COLUMN(Y4)+1,,,"期末试卷原始成绩表")):INDIRECT(ADDRESS(($B$1+1),COLUMN(Y4)+1,,,"期末试卷原始成绩表"))))</f>
        <v> </v>
      </c>
      <c r="Z4" s="8" t="str">
        <f ca="1">IF(ISBLANK('3、期末成绩'!AB2)," ",SUM(INDIRECT(ADDRESS(2,COLUMN(Z4)+1,,,"期末试卷原始成绩表")):INDIRECT(ADDRESS(($B$1+1),COLUMN(Z4)+1,,,"期末试卷原始成绩表"))))</f>
        <v> </v>
      </c>
      <c r="AA4" s="8" t="str">
        <f ca="1">IF(ISBLANK('3、期末成绩'!AC2)," ",SUM(INDIRECT(ADDRESS(2,COLUMN(AA4)+1,,,"期末试卷原始成绩表")):INDIRECT(ADDRESS(($B$1+1),COLUMN(AA4)+1,,,"期末试卷原始成绩表"))))</f>
        <v> </v>
      </c>
      <c r="AB4" s="8" t="str">
        <f ca="1">IF(ISBLANK('3、期末成绩'!AD2)," ",SUM(INDIRECT(ADDRESS(2,COLUMN(AB4)+1,,,"期末试卷原始成绩表")):INDIRECT(ADDRESS(($B$1+1),COLUMN(AB4)+1,,,"期末试卷原始成绩表"))))</f>
        <v> </v>
      </c>
      <c r="AC4" s="8" t="str">
        <f ca="1">IF(ISBLANK('3、期末成绩'!AE2)," ",SUM(INDIRECT(ADDRESS(2,COLUMN(AC4)+1,,,"期末试卷原始成绩表")):INDIRECT(ADDRESS(($B$1+1),COLUMN(AC4)+1,,,"期末试卷原始成绩表"))))</f>
        <v> </v>
      </c>
      <c r="AD4" s="8" t="e">
        <f ca="1">IF(ISBLANK('3、期末成绩'!#REF!)," ",SUM(INDIRECT(ADDRESS(2,COLUMN(AD4)+1,,,"期末试卷原始成绩表")):INDIRECT(ADDRESS(($B$1+1),COLUMN(AD4)+1,,,"期末试卷原始成绩表"))))</f>
        <v>#REF!</v>
      </c>
      <c r="AE4" s="8" t="str">
        <f ca="1">IF(ISBLANK('3、期末成绩'!AF2)," ",SUM(INDIRECT(ADDRESS(2,COLUMN(AE4)+1,,,"期末试卷原始成绩表")):INDIRECT(ADDRESS(($B$1+1),COLUMN(AE4)+1,,,"期末试卷原始成绩表"))))</f>
        <v> </v>
      </c>
      <c r="AF4" s="8" t="str">
        <f ca="1">IF(ISBLANK('3、期末成绩'!AG2)," ",SUM(INDIRECT(ADDRESS(2,COLUMN(AF4)+1,,,"期末试卷原始成绩表")):INDIRECT(ADDRESS(($B$1+1),COLUMN(AF4)+1,,,"期末试卷原始成绩表"))))</f>
        <v> </v>
      </c>
      <c r="AG4" s="8" t="str">
        <f ca="1">IF(ISBLANK('3、期末成绩'!AH2)," ",SUM(INDIRECT(ADDRESS(2,COLUMN(AG4)+1,,,"期末试卷原始成绩表")):INDIRECT(ADDRESS(($B$1+1),COLUMN(AG4)+1,,,"期末试卷原始成绩表"))))</f>
        <v> </v>
      </c>
      <c r="AH4" s="8" t="str">
        <f ca="1">IF(ISBLANK('3、期末成绩'!AI2)," ",SUM(INDIRECT(ADDRESS(2,COLUMN(AH4)+1,,,"期末试卷原始成绩表")):INDIRECT(ADDRESS(($B$1+1),COLUMN(AH4)+1,,,"期末试卷原始成绩表"))))</f>
        <v> </v>
      </c>
      <c r="AI4" s="8" t="str">
        <f ca="1">IF(ISBLANK('3、期末成绩'!AJ2)," ",SUM(INDIRECT(ADDRESS(2,COLUMN(AI4)+1,,,"期末试卷原始成绩表")):INDIRECT(ADDRESS(($B$1+1),COLUMN(AI4)+1,,,"期末试卷原始成绩表"))))</f>
        <v> </v>
      </c>
      <c r="AJ4" s="8" t="str">
        <f ca="1">IF(ISBLANK('3、期末成绩'!AK2)," ",SUM(INDIRECT(ADDRESS(2,COLUMN(AJ4)+1,,,"期末试卷原始成绩表")):INDIRECT(ADDRESS(($B$1+1),COLUMN(AJ4)+1,,,"期末试卷原始成绩表"))))</f>
        <v> </v>
      </c>
      <c r="AK4" s="8" t="str">
        <f ca="1">IF(ISBLANK('3、期末成绩'!AL2)," ",SUM(INDIRECT(ADDRESS(2,COLUMN(AK4)+1,,,"期末试卷原始成绩表")):INDIRECT(ADDRESS(($B$1+1),COLUMN(AK4)+1,,,"期末试卷原始成绩表"))))</f>
        <v> </v>
      </c>
      <c r="AL4" s="8" t="str">
        <f ca="1">IF(ISBLANK('3、期末成绩'!AM2)," ",SUM(INDIRECT(ADDRESS(2,COLUMN(AL4)+1,,,"期末试卷原始成绩表")):INDIRECT(ADDRESS(($B$1+1),COLUMN(AL4)+1,,,"期末试卷原始成绩表"))))</f>
        <v> </v>
      </c>
      <c r="AM4" s="8" t="str">
        <f ca="1">IF(ISBLANK('3、期末成绩'!AN2)," ",SUM(INDIRECT(ADDRESS(2,COLUMN(AM4)+1,,,"期末试卷原始成绩表")):INDIRECT(ADDRESS(($B$1+1),COLUMN(AM4)+1,,,"期末试卷原始成绩表"))))</f>
        <v> </v>
      </c>
      <c r="AN4" s="8" t="str">
        <f ca="1">IF(ISBLANK('3、期末成绩'!AO2)," ",SUM(INDIRECT(ADDRESS(2,COLUMN(AN4)+1,,,"期末试卷原始成绩表")):INDIRECT(ADDRESS(($B$1+1),COLUMN(AN4)+1,,,"期末试卷原始成绩表"))))</f>
        <v> </v>
      </c>
      <c r="AO4" s="8" t="str">
        <f ca="1">IF(ISBLANK('3、期末成绩'!AP2)," ",SUM(INDIRECT(ADDRESS(2,COLUMN(AO4)+1,,,"期末试卷原始成绩表")):INDIRECT(ADDRESS(($B$1+1),COLUMN(AO4)+1,,,"期末试卷原始成绩表"))))</f>
        <v> </v>
      </c>
      <c r="AP4" s="8" t="str">
        <f ca="1">IF(ISBLANK('3、期末成绩'!AQ2)," ",SUM(INDIRECT(ADDRESS(2,COLUMN(AP4)+1,,,"期末试卷原始成绩表")):INDIRECT(ADDRESS(($B$1+1),COLUMN(AP4)+1,,,"期末试卷原始成绩表"))))</f>
        <v> </v>
      </c>
      <c r="AQ4" s="8" t="str">
        <f ca="1">IF(ISBLANK('3、期末成绩'!AR2)," ",SUM(INDIRECT(ADDRESS(2,COLUMN(AQ4)+1,,,"期末试卷原始成绩表")):INDIRECT(ADDRESS(($B$1+1),COLUMN(AQ4)+1,,,"期末试卷原始成绩表"))))</f>
        <v> </v>
      </c>
      <c r="AR4" s="8" t="str">
        <f ca="1">IF(ISBLANK('3、期末成绩'!AS2)," ",SUM(INDIRECT(ADDRESS(2,COLUMN(AR4)+1,,,"期末试卷原始成绩表")):INDIRECT(ADDRESS(($B$1+1),COLUMN(AR4)+1,,,"期末试卷原始成绩表"))))</f>
        <v> </v>
      </c>
      <c r="AS4" s="8" t="str">
        <f ca="1">IF(ISBLANK('3、期末成绩'!AT2)," ",SUM(INDIRECT(ADDRESS(2,COLUMN(AS4)+1,,,"期末试卷原始成绩表")):INDIRECT(ADDRESS(($B$1+1),COLUMN(AS4)+1,,,"期末试卷原始成绩表"))))</f>
        <v> </v>
      </c>
      <c r="AT4" s="8" t="str">
        <f ca="1">IF(ISBLANK('3、期末成绩'!AU2)," ",SUM(INDIRECT(ADDRESS(2,COLUMN(AT4)+1,,,"期末试卷原始成绩表")):INDIRECT(ADDRESS(($B$1+1),COLUMN(AT4)+1,,,"期末试卷原始成绩表"))))</f>
        <v> </v>
      </c>
      <c r="AU4" s="8" t="str">
        <f ca="1">IF(ISBLANK('3、期末成绩'!AV2)," ",SUM(INDIRECT(ADDRESS(2,COLUMN(AU4)+1,,,"期末试卷原始成绩表")):INDIRECT(ADDRESS(($B$1+1),COLUMN(AU4)+1,,,"期末试卷原始成绩表"))))</f>
        <v> </v>
      </c>
      <c r="AV4" s="8" t="str">
        <f ca="1">IF(ISBLANK('3、期末成绩'!AW2)," ",SUM(INDIRECT(ADDRESS(2,COLUMN(AV4)+1,,,"期末试卷原始成绩表")):INDIRECT(ADDRESS(($B$1+1),COLUMN(AV4)+1,,,"期末试卷原始成绩表"))))</f>
        <v> </v>
      </c>
      <c r="AW4" s="8" t="str">
        <f ca="1">IF(ISBLANK('3、期末成绩'!AX2)," ",SUM(INDIRECT(ADDRESS(2,COLUMN(AW4)+1,,,"期末试卷原始成绩表")):INDIRECT(ADDRESS(($B$1+1),COLUMN(AW4)+1,,,"期末试卷原始成绩表"))))</f>
        <v> </v>
      </c>
      <c r="AX4" s="8" t="str">
        <f ca="1">IF(ISBLANK('3、期末成绩'!AY2)," ",SUM(INDIRECT(ADDRESS(2,COLUMN(AX4)+1,,,"期末试卷原始成绩表")):INDIRECT(ADDRESS(($B$1+1),COLUMN(AX4)+1,,,"期末试卷原始成绩表"))))</f>
        <v> </v>
      </c>
      <c r="AY4" s="8" t="str">
        <f ca="1">IF(ISBLANK('3、期末成绩'!AZ2)," ",SUM(INDIRECT(ADDRESS(2,COLUMN(AY4)+1,,,"期末试卷原始成绩表")):INDIRECT(ADDRESS(($B$1+1),COLUMN(AY4)+1,,,"期末试卷原始成绩表"))))</f>
        <v> </v>
      </c>
      <c r="AZ4" s="8" t="str">
        <f ca="1">IF(ISBLANK('3、期末成绩'!BA2)," ",SUM(INDIRECT(ADDRESS(2,COLUMN(AZ4)+1,,,"期末试卷原始成绩表")):INDIRECT(ADDRESS(($B$1+1),COLUMN(AZ4)+1,,,"期末试卷原始成绩表"))))</f>
        <v> </v>
      </c>
      <c r="BA4" s="8" t="str">
        <f ca="1">IF(ISBLANK('3、期末成绩'!BB2)," ",SUM(INDIRECT(ADDRESS(2,COLUMN(BA4)+1,,,"期末试卷原始成绩表")):INDIRECT(ADDRESS(($B$1+1),COLUMN(BA4)+1,,,"期末试卷原始成绩表"))))</f>
        <v> </v>
      </c>
      <c r="BB4" s="8" t="str">
        <f ca="1">IF(ISBLANK('3、期末成绩'!BC2)," ",SUM(INDIRECT(ADDRESS(2,COLUMN(BB4)+1,,,"期末试卷原始成绩表")):INDIRECT(ADDRESS(($B$1+1),COLUMN(BB4)+1,,,"期末试卷原始成绩表"))))</f>
        <v> </v>
      </c>
      <c r="BC4" s="8" t="str">
        <f ca="1">IF(ISBLANK('3、期末成绩'!BD2)," ",SUM(INDIRECT(ADDRESS(2,COLUMN(BC4)+1,,,"期末试卷原始成绩表")):INDIRECT(ADDRESS(($B$1+1),COLUMN(BC4)+1,,,"期末试卷原始成绩表"))))</f>
        <v> </v>
      </c>
      <c r="BD4" s="8" t="str">
        <f ca="1">IF(ISBLANK('3、期末成绩'!BE2)," ",SUM(INDIRECT(ADDRESS(2,COLUMN(BD4)+1,,,"期末试卷原始成绩表")):INDIRECT(ADDRESS(($B$1+1),COLUMN(BD4)+1,,,"期末试卷原始成绩表"))))</f>
        <v> </v>
      </c>
      <c r="BE4" s="8" t="str">
        <f ca="1">IF(ISBLANK('3、期末成绩'!BF2)," ",SUM(INDIRECT(ADDRESS(2,COLUMN(BE4)+1,,,"期末试卷原始成绩表")):INDIRECT(ADDRESS(($B$1+1),COLUMN(BE4)+1,,,"期末试卷原始成绩表"))))</f>
        <v> </v>
      </c>
      <c r="BF4" s="8" t="str">
        <f ca="1">IF(ISBLANK('3、期末成绩'!BG2)," ",SUM(INDIRECT(ADDRESS(2,COLUMN(BF4)+1,,,"期末试卷原始成绩表")):INDIRECT(ADDRESS(($B$1+1),COLUMN(BF4)+1,,,"期末试卷原始成绩表"))))</f>
        <v> </v>
      </c>
      <c r="BG4" s="8" t="str">
        <f ca="1">IF(ISBLANK('3、期末成绩'!BH2)," ",SUM(INDIRECT(ADDRESS(2,COLUMN(BG4)+1,,,"期末试卷原始成绩表")):INDIRECT(ADDRESS(($B$1+1),COLUMN(BG4)+1,,,"期末试卷原始成绩表"))))</f>
        <v> </v>
      </c>
      <c r="BH4" s="8" t="str">
        <f ca="1">IF(ISBLANK('3、期末成绩'!BI2)," ",SUM(INDIRECT(ADDRESS(2,COLUMN(BH4)+1,,,"期末试卷原始成绩表")):INDIRECT(ADDRESS(($B$1+1),COLUMN(BH4)+1,,,"期末试卷原始成绩表"))))</f>
        <v> </v>
      </c>
      <c r="BI4" s="8" t="str">
        <f ca="1">IF(ISBLANK('3、期末成绩'!BJ2)," ",SUM(INDIRECT(ADDRESS(2,COLUMN(BI4)+1,,,"期末试卷原始成绩表")):INDIRECT(ADDRESS(($B$1+1),COLUMN(BI4)+1,,,"期末试卷原始成绩表"))))</f>
        <v> </v>
      </c>
      <c r="BJ4" s="8" t="str">
        <f ca="1">IF(ISBLANK('3、期末成绩'!BK2)," ",SUM(INDIRECT(ADDRESS(2,COLUMN(BJ4)+1,,,"期末试卷原始成绩表")):INDIRECT(ADDRESS(($B$1+1),COLUMN(BJ4)+1,,,"期末试卷原始成绩表"))))</f>
        <v> </v>
      </c>
      <c r="BK4" s="8" t="str">
        <f ca="1">IF(ISBLANK('3、期末成绩'!BL2)," ",SUM(INDIRECT(ADDRESS(2,COLUMN(BK4)+1,,,"期末试卷原始成绩表")):INDIRECT(ADDRESS(($B$1+1),COLUMN(BK4)+1,,,"期末试卷原始成绩表"))))</f>
        <v> </v>
      </c>
      <c r="BL4" s="8" t="str">
        <f ca="1">IF(ISBLANK('3、期末成绩'!BM2)," ",SUM(INDIRECT(ADDRESS(2,COLUMN(BL4)+1,,,"期末试卷原始成绩表")):INDIRECT(ADDRESS(($B$1+1),COLUMN(BL4)+1,,,"期末试卷原始成绩表"))))</f>
        <v> </v>
      </c>
      <c r="BM4" s="8" t="str">
        <f ca="1">IF(ISBLANK('3、期末成绩'!BN2)," ",SUM(INDIRECT(ADDRESS(2,COLUMN(BM4)+1,,,"期末试卷原始成绩表")):INDIRECT(ADDRESS(($B$1+1),COLUMN(BM4)+1,,,"期末试卷原始成绩表"))))</f>
        <v> </v>
      </c>
      <c r="BN4" s="8" t="str">
        <f ca="1">IF(ISBLANK('3、期末成绩'!BO2)," ",SUM(INDIRECT(ADDRESS(2,COLUMN(BN4)+1,,,"期末试卷原始成绩表")):INDIRECT(ADDRESS(($B$1+1),COLUMN(BN4)+1,,,"期末试卷原始成绩表"))))</f>
        <v> </v>
      </c>
      <c r="BO4" s="8" t="str">
        <f ca="1">IF(ISBLANK('3、期末成绩'!BP2)," ",SUM(INDIRECT(ADDRESS(2,COLUMN(BO4)+1,,,"期末试卷原始成绩表")):INDIRECT(ADDRESS(($B$1+1),COLUMN(BO4)+1,,,"期末试卷原始成绩表"))))</f>
        <v> </v>
      </c>
      <c r="BP4" s="8" t="str">
        <f ca="1">IF(ISBLANK('3、期末成绩'!BQ2)," ",SUM(INDIRECT(ADDRESS(2,COLUMN(BP4)+1,,,"期末试卷原始成绩表")):INDIRECT(ADDRESS(($B$1+1),COLUMN(BP4)+1,,,"期末试卷原始成绩表"))))</f>
        <v> </v>
      </c>
      <c r="BQ4" s="8" t="str">
        <f ca="1">IF(ISBLANK('3、期末成绩'!BR2)," ",SUM(INDIRECT(ADDRESS(2,COLUMN(BQ4)+1,,,"期末试卷原始成绩表")):INDIRECT(ADDRESS(($B$1+1),COLUMN(BQ4)+1,,,"期末试卷原始成绩表"))))</f>
        <v> </v>
      </c>
      <c r="BR4" s="8" t="str">
        <f ca="1">IF(ISBLANK('3、期末成绩'!BS2)," ",SUM(INDIRECT(ADDRESS(2,COLUMN(BR4)+1,,,"期末试卷原始成绩表")):INDIRECT(ADDRESS(($B$1+1),COLUMN(BR4)+1,,,"期末试卷原始成绩表"))))</f>
        <v> </v>
      </c>
      <c r="BS4" s="8" t="str">
        <f ca="1">IF(ISBLANK('3、期末成绩'!BT2)," ",SUM(INDIRECT(ADDRESS(2,COLUMN(BS4)+1,,,"期末试卷原始成绩表")):INDIRECT(ADDRESS(($B$1+1),COLUMN(BS4)+1,,,"期末试卷原始成绩表"))))</f>
        <v> </v>
      </c>
      <c r="BT4" s="8" t="str">
        <f ca="1">IF(ISBLANK('3、期末成绩'!BU2)," ",SUM(INDIRECT(ADDRESS(2,COLUMN(BT4)+1,,,"期末试卷原始成绩表")):INDIRECT(ADDRESS(($B$1+1),COLUMN(BT4)+1,,,"期末试卷原始成绩表"))))</f>
        <v> </v>
      </c>
      <c r="BU4" s="8" t="str">
        <f ca="1">IF(ISBLANK('3、期末成绩'!BV2)," ",SUM(INDIRECT(ADDRESS(2,COLUMN(BU4)+1,,,"期末试卷原始成绩表")):INDIRECT(ADDRESS(($B$1+1),COLUMN(BU4)+1,,,"期末试卷原始成绩表"))))</f>
        <v> </v>
      </c>
      <c r="BV4" s="8" t="str">
        <f ca="1">IF(ISBLANK('3、期末成绩'!BW2)," ",SUM(INDIRECT(ADDRESS(2,COLUMN(BV4)+1,,,"期末试卷原始成绩表")):INDIRECT(ADDRESS(($B$1+1),COLUMN(BV4)+1,,,"期末试卷原始成绩表"))))</f>
        <v> </v>
      </c>
      <c r="BW4" s="8" t="str">
        <f ca="1">IF(ISBLANK('3、期末成绩'!BX2)," ",SUM(INDIRECT(ADDRESS(2,COLUMN(BW4)+1,,,"期末试卷原始成绩表")):INDIRECT(ADDRESS(($B$1+1),COLUMN(BW4)+1,,,"期末试卷原始成绩表"))))</f>
        <v> </v>
      </c>
      <c r="BX4" s="8" t="str">
        <f ca="1">IF(ISBLANK('3、期末成绩'!BY2)," ",SUM(INDIRECT(ADDRESS(2,COLUMN(BX4)+1,,,"期末试卷原始成绩表")):INDIRECT(ADDRESS(($B$1+1),COLUMN(BX4)+1,,,"期末试卷原始成绩表"))))</f>
        <v> </v>
      </c>
      <c r="BY4" s="8" t="str">
        <f ca="1">IF(ISBLANK('3、期末成绩'!BZ2)," ",SUM(INDIRECT(ADDRESS(2,COLUMN(BY4)+1,,,"期末试卷原始成绩表")):INDIRECT(ADDRESS(($B$1+1),COLUMN(BY4)+1,,,"期末试卷原始成绩表"))))</f>
        <v> </v>
      </c>
      <c r="BZ4" s="8" t="str">
        <f ca="1">IF(ISBLANK('3、期末成绩'!CA2)," ",SUM(INDIRECT(ADDRESS(2,COLUMN(BZ4)+1,,,"期末试卷原始成绩表")):INDIRECT(ADDRESS(($B$1+1),COLUMN(BZ4)+1,,,"期末试卷原始成绩表"))))</f>
        <v> </v>
      </c>
      <c r="CA4" s="8" t="str">
        <f ca="1">IF(ISBLANK('3、期末成绩'!CB2)," ",SUM(INDIRECT(ADDRESS(2,COLUMN(CA4)+1,,,"期末试卷原始成绩表")):INDIRECT(ADDRESS(($B$1+1),COLUMN(CA4)+1,,,"期末试卷原始成绩表"))))</f>
        <v> </v>
      </c>
      <c r="CB4" s="8" t="str">
        <f ca="1">IF(ISBLANK('3、期末成绩'!CC2)," ",SUM(INDIRECT(ADDRESS(2,COLUMN(CB4)+1,,,"期末试卷原始成绩表")):INDIRECT(ADDRESS(($B$1+1),COLUMN(CB4)+1,,,"期末试卷原始成绩表"))))</f>
        <v> </v>
      </c>
      <c r="CC4" s="8" t="str">
        <f ca="1">IF(ISBLANK('3、期末成绩'!CD2)," ",SUM(INDIRECT(ADDRESS(2,COLUMN(CC4)+1,,,"期末试卷原始成绩表")):INDIRECT(ADDRESS(($B$1+1),COLUMN(CC4)+1,,,"期末试卷原始成绩表"))))</f>
        <v> </v>
      </c>
    </row>
    <row r="5" spans="1:81">
      <c r="A5" s="7" t="s">
        <v>790</v>
      </c>
      <c r="B5" s="9" t="e">
        <f ca="1">IF(B4=" "," ",B4/$B$1)</f>
        <v>#REF!</v>
      </c>
      <c r="C5" s="9" t="e">
        <f ca="1" t="shared" ref="C5" si="0">IF(C4=" "," ",C4/$B$1)</f>
        <v>#REF!</v>
      </c>
      <c r="D5" s="9" t="e">
        <f ca="1" t="shared" ref="D5" si="1">IF(D4=" "," ",D4/$B$1)</f>
        <v>#REF!</v>
      </c>
      <c r="E5" s="9" t="e">
        <f ca="1" t="shared" ref="E5" si="2">IF(E4=" "," ",E4/$B$1)</f>
        <v>#REF!</v>
      </c>
      <c r="F5" s="9" t="e">
        <f ca="1" t="shared" ref="F5:AI5" si="3">IF(F4=" "," ",F4/$B$1)</f>
        <v>#REF!</v>
      </c>
      <c r="G5" s="9" t="str">
        <f ca="1" t="shared" si="3"/>
        <v> </v>
      </c>
      <c r="H5" s="9" t="str">
        <f ca="1" t="shared" si="3"/>
        <v> </v>
      </c>
      <c r="I5" s="9" t="str">
        <f ca="1" t="shared" si="3"/>
        <v> </v>
      </c>
      <c r="J5" s="9" t="str">
        <f ca="1" t="shared" si="3"/>
        <v> </v>
      </c>
      <c r="K5" s="9" t="str">
        <f ca="1" t="shared" si="3"/>
        <v> </v>
      </c>
      <c r="L5" s="9" t="str">
        <f ca="1" t="shared" si="3"/>
        <v> </v>
      </c>
      <c r="M5" s="9" t="str">
        <f ca="1" t="shared" si="3"/>
        <v> </v>
      </c>
      <c r="N5" s="9" t="str">
        <f ca="1" t="shared" si="3"/>
        <v> </v>
      </c>
      <c r="O5" s="9" t="str">
        <f ca="1" t="shared" si="3"/>
        <v> </v>
      </c>
      <c r="P5" s="9" t="str">
        <f ca="1" t="shared" si="3"/>
        <v> </v>
      </c>
      <c r="Q5" s="9" t="str">
        <f ca="1" t="shared" si="3"/>
        <v> </v>
      </c>
      <c r="R5" s="9" t="str">
        <f ca="1" t="shared" si="3"/>
        <v> </v>
      </c>
      <c r="S5" s="9" t="str">
        <f ca="1" t="shared" si="3"/>
        <v> </v>
      </c>
      <c r="T5" s="9" t="str">
        <f ca="1" t="shared" si="3"/>
        <v> </v>
      </c>
      <c r="U5" s="9" t="str">
        <f ca="1" t="shared" si="3"/>
        <v> </v>
      </c>
      <c r="V5" s="9" t="str">
        <f ca="1" t="shared" si="3"/>
        <v> </v>
      </c>
      <c r="W5" s="9" t="str">
        <f ca="1" t="shared" si="3"/>
        <v> </v>
      </c>
      <c r="X5" s="9" t="str">
        <f ca="1" t="shared" si="3"/>
        <v> </v>
      </c>
      <c r="Y5" s="9" t="str">
        <f ca="1" t="shared" si="3"/>
        <v> </v>
      </c>
      <c r="Z5" s="9" t="str">
        <f ca="1" t="shared" si="3"/>
        <v> </v>
      </c>
      <c r="AA5" s="9" t="str">
        <f ca="1" t="shared" si="3"/>
        <v> </v>
      </c>
      <c r="AB5" s="9" t="str">
        <f ca="1" t="shared" si="3"/>
        <v> </v>
      </c>
      <c r="AC5" s="9" t="str">
        <f ca="1" t="shared" si="3"/>
        <v> </v>
      </c>
      <c r="AD5" s="9" t="e">
        <f ca="1" t="shared" si="3"/>
        <v>#REF!</v>
      </c>
      <c r="AE5" s="9" t="str">
        <f ca="1" t="shared" si="3"/>
        <v> </v>
      </c>
      <c r="AF5" s="9" t="str">
        <f ca="1" t="shared" si="3"/>
        <v> </v>
      </c>
      <c r="AG5" s="9" t="str">
        <f ca="1" t="shared" si="3"/>
        <v> </v>
      </c>
      <c r="AH5" s="9" t="str">
        <f ca="1" t="shared" si="3"/>
        <v> </v>
      </c>
      <c r="AI5" s="9" t="str">
        <f ca="1" t="shared" si="3"/>
        <v> </v>
      </c>
      <c r="AJ5" s="9" t="str">
        <f ca="1" t="shared" ref="AJ5" si="4">IF(AJ4=" "," ",AJ4/$B$1)</f>
        <v> </v>
      </c>
      <c r="AK5" s="9" t="str">
        <f ca="1" t="shared" ref="AK5" si="5">IF(AK4=" "," ",AK4/$B$1)</f>
        <v> </v>
      </c>
      <c r="AL5" s="9" t="str">
        <f ca="1" t="shared" ref="AL5:BN5" si="6">IF(AL4=" "," ",AL4/$B$1)</f>
        <v> </v>
      </c>
      <c r="AM5" s="9" t="str">
        <f ca="1" t="shared" si="6"/>
        <v> </v>
      </c>
      <c r="AN5" s="9" t="str">
        <f ca="1" t="shared" si="6"/>
        <v> </v>
      </c>
      <c r="AO5" s="9" t="str">
        <f ca="1" t="shared" si="6"/>
        <v> </v>
      </c>
      <c r="AP5" s="9" t="str">
        <f ca="1" t="shared" si="6"/>
        <v> </v>
      </c>
      <c r="AQ5" s="9" t="str">
        <f ca="1" t="shared" si="6"/>
        <v> </v>
      </c>
      <c r="AR5" s="9" t="str">
        <f ca="1" t="shared" si="6"/>
        <v> </v>
      </c>
      <c r="AS5" s="9" t="str">
        <f ca="1" t="shared" si="6"/>
        <v> </v>
      </c>
      <c r="AT5" s="9" t="str">
        <f ca="1" t="shared" si="6"/>
        <v> </v>
      </c>
      <c r="AU5" s="9" t="str">
        <f ca="1" t="shared" si="6"/>
        <v> </v>
      </c>
      <c r="AV5" s="9" t="str">
        <f ca="1" t="shared" si="6"/>
        <v> </v>
      </c>
      <c r="AW5" s="9" t="str">
        <f ca="1" t="shared" si="6"/>
        <v> </v>
      </c>
      <c r="AX5" s="9" t="str">
        <f ca="1" t="shared" si="6"/>
        <v> </v>
      </c>
      <c r="AY5" s="9" t="str">
        <f ca="1" t="shared" si="6"/>
        <v> </v>
      </c>
      <c r="AZ5" s="9" t="str">
        <f ca="1" t="shared" si="6"/>
        <v> </v>
      </c>
      <c r="BA5" s="9" t="str">
        <f ca="1" t="shared" si="6"/>
        <v> </v>
      </c>
      <c r="BB5" s="9" t="str">
        <f ca="1" t="shared" si="6"/>
        <v> </v>
      </c>
      <c r="BC5" s="9" t="str">
        <f ca="1" t="shared" si="6"/>
        <v> </v>
      </c>
      <c r="BD5" s="9" t="str">
        <f ca="1" t="shared" si="6"/>
        <v> </v>
      </c>
      <c r="BE5" s="9" t="str">
        <f ca="1" t="shared" si="6"/>
        <v> </v>
      </c>
      <c r="BF5" s="9" t="str">
        <f ca="1" t="shared" si="6"/>
        <v> </v>
      </c>
      <c r="BG5" s="9" t="str">
        <f ca="1" t="shared" si="6"/>
        <v> </v>
      </c>
      <c r="BH5" s="9" t="str">
        <f ca="1" t="shared" si="6"/>
        <v> </v>
      </c>
      <c r="BI5" s="9" t="str">
        <f ca="1" t="shared" si="6"/>
        <v> </v>
      </c>
      <c r="BJ5" s="9" t="str">
        <f ca="1" t="shared" si="6"/>
        <v> </v>
      </c>
      <c r="BK5" s="9" t="str">
        <f ca="1" t="shared" si="6"/>
        <v> </v>
      </c>
      <c r="BL5" s="9" t="str">
        <f ca="1" t="shared" si="6"/>
        <v> </v>
      </c>
      <c r="BM5" s="9" t="str">
        <f ca="1" t="shared" si="6"/>
        <v> </v>
      </c>
      <c r="BN5" s="9" t="str">
        <f ca="1" t="shared" si="6"/>
        <v> </v>
      </c>
      <c r="BO5" s="9" t="str">
        <f ca="1" t="shared" ref="BO5" si="7">IF(BO4=" "," ",BO4/$B$1)</f>
        <v> </v>
      </c>
      <c r="BP5" s="9" t="str">
        <f ca="1" t="shared" ref="BP5" si="8">IF(BP4=" "," ",BP4/$B$1)</f>
        <v> </v>
      </c>
      <c r="BQ5" s="9" t="str">
        <f ca="1" t="shared" ref="BQ5" si="9">IF(BQ4=" "," ",BQ4/$B$1)</f>
        <v> </v>
      </c>
      <c r="BR5" s="9" t="str">
        <f ca="1" t="shared" ref="BR5:CC5" si="10">IF(BR4=" "," ",BR4/$B$1)</f>
        <v> </v>
      </c>
      <c r="BS5" s="9" t="str">
        <f ca="1" t="shared" si="10"/>
        <v> </v>
      </c>
      <c r="BT5" s="9" t="str">
        <f ca="1" t="shared" si="10"/>
        <v> </v>
      </c>
      <c r="BU5" s="9" t="str">
        <f ca="1" t="shared" si="10"/>
        <v> </v>
      </c>
      <c r="BV5" s="9" t="str">
        <f ca="1" t="shared" si="10"/>
        <v> </v>
      </c>
      <c r="BW5" s="9" t="str">
        <f ca="1" t="shared" si="10"/>
        <v> </v>
      </c>
      <c r="BX5" s="9" t="str">
        <f ca="1" t="shared" si="10"/>
        <v> </v>
      </c>
      <c r="BY5" s="9" t="str">
        <f ca="1" t="shared" si="10"/>
        <v> </v>
      </c>
      <c r="BZ5" s="9" t="str">
        <f ca="1" t="shared" si="10"/>
        <v> </v>
      </c>
      <c r="CA5" s="9" t="str">
        <f ca="1" t="shared" si="10"/>
        <v> </v>
      </c>
      <c r="CB5" s="9" t="str">
        <f ca="1" t="shared" si="10"/>
        <v> </v>
      </c>
      <c r="CC5" s="9" t="str">
        <f ca="1" t="shared" si="10"/>
        <v> </v>
      </c>
    </row>
    <row r="6" spans="1:81">
      <c r="A6" s="7" t="s">
        <v>791</v>
      </c>
      <c r="B6" s="5" t="str">
        <f>IF(ISBLANK(VLOOKUP(期末试卷分析表!B3,'2、试卷（期末题目-课程目标）'!$A$1:$C$81,2,FALSE))," ",VLOOKUP(期末试卷分析表!B3,'2、试卷（期末题目-课程目标）'!$A$1:$C$81,2,FALSE))</f>
        <v>2</v>
      </c>
      <c r="C6" s="5" t="str">
        <f>IF(ISBLANK(VLOOKUP(期末试卷分析表!C3,'2、试卷（期末题目-课程目标）'!$A$1:$C$81,2,FALSE))," ",VLOOKUP(期末试卷分析表!C3,'2、试卷（期末题目-课程目标）'!$A$1:$C$81,2,FALSE))</f>
        <v>2</v>
      </c>
      <c r="D6" s="5" t="str">
        <f>IF(ISBLANK(VLOOKUP(期末试卷分析表!D3,'2、试卷（期末题目-课程目标）'!$A$1:$C$81,2,FALSE))," ",VLOOKUP(期末试卷分析表!D3,'2、试卷（期末题目-课程目标）'!$A$1:$C$81,2,FALSE))</f>
        <v>3</v>
      </c>
      <c r="E6" s="5" t="str">
        <f>IF(ISBLANK(VLOOKUP(期末试卷分析表!E3,'2、试卷（期末题目-课程目标）'!$A$1:$C$81,2,FALSE))," ",VLOOKUP(期末试卷分析表!E3,'2、试卷（期末题目-课程目标）'!$A$1:$C$81,2,FALSE))</f>
        <v>3</v>
      </c>
      <c r="F6" s="5" t="str">
        <f>IF(ISBLANK(VLOOKUP(期末试卷分析表!F3,'2、试卷（期末题目-课程目标）'!$A$1:$C$81,2,FALSE))," ",VLOOKUP(期末试卷分析表!F3,'2、试卷（期末题目-课程目标）'!$A$1:$C$81,2,FALSE))</f>
        <v>5</v>
      </c>
      <c r="G6" s="5" t="str">
        <f>IF(ISBLANK(VLOOKUP(期末试卷分析表!G3,'2、试卷（期末题目-课程目标）'!$A$1:$C$81,2,FALSE))," ",VLOOKUP(期末试卷分析表!G3,'2、试卷（期末题目-课程目标）'!$A$1:$C$81,2,FALSE))</f>
        <v> </v>
      </c>
      <c r="H6" s="5" t="str">
        <f>IF(ISBLANK(VLOOKUP(期末试卷分析表!H3,'2、试卷（期末题目-课程目标）'!$A$1:$C$81,2,FALSE))," ",VLOOKUP(期末试卷分析表!H3,'2、试卷（期末题目-课程目标）'!$A$1:$C$81,2,FALSE))</f>
        <v> </v>
      </c>
      <c r="I6" s="5" t="str">
        <f>IF(ISBLANK(VLOOKUP(期末试卷分析表!I3,'2、试卷（期末题目-课程目标）'!$A$1:$C$81,2,FALSE))," ",VLOOKUP(期末试卷分析表!I3,'2、试卷（期末题目-课程目标）'!$A$1:$C$81,2,FALSE))</f>
        <v> </v>
      </c>
      <c r="J6" s="5" t="str">
        <f>IF(ISBLANK(VLOOKUP(期末试卷分析表!J3,'2、试卷（期末题目-课程目标）'!$A$1:$C$81,2,FALSE))," ",VLOOKUP(期末试卷分析表!J3,'2、试卷（期末题目-课程目标）'!$A$1:$C$81,2,FALSE))</f>
        <v> </v>
      </c>
      <c r="K6" s="5" t="str">
        <f>IF(ISBLANK(VLOOKUP(期末试卷分析表!K3,'2、试卷（期末题目-课程目标）'!$A$1:$C$81,2,FALSE))," ",VLOOKUP(期末试卷分析表!K3,'2、试卷（期末题目-课程目标）'!$A$1:$C$81,2,FALSE))</f>
        <v> </v>
      </c>
      <c r="L6" s="5" t="str">
        <f>IF(ISBLANK(VLOOKUP(期末试卷分析表!L3,'2、试卷（期末题目-课程目标）'!$A$1:$C$81,2,FALSE))," ",VLOOKUP(期末试卷分析表!L3,'2、试卷（期末题目-课程目标）'!$A$1:$C$81,2,FALSE))</f>
        <v> </v>
      </c>
      <c r="M6" s="5" t="str">
        <f>IF(ISBLANK(VLOOKUP(期末试卷分析表!M3,'2、试卷（期末题目-课程目标）'!$A$1:$C$81,2,FALSE))," ",VLOOKUP(期末试卷分析表!M3,'2、试卷（期末题目-课程目标）'!$A$1:$C$81,2,FALSE))</f>
        <v> </v>
      </c>
      <c r="N6" s="5" t="str">
        <f>IF(ISBLANK(VLOOKUP(期末试卷分析表!N3,'2、试卷（期末题目-课程目标）'!$A$1:$C$81,2,FALSE))," ",VLOOKUP(期末试卷分析表!N3,'2、试卷（期末题目-课程目标）'!$A$1:$C$81,2,FALSE))</f>
        <v> </v>
      </c>
      <c r="O6" s="5" t="str">
        <f>IF(ISBLANK(VLOOKUP(期末试卷分析表!O3,'2、试卷（期末题目-课程目标）'!$A$1:$C$81,2,FALSE))," ",VLOOKUP(期末试卷分析表!O3,'2、试卷（期末题目-课程目标）'!$A$1:$C$81,2,FALSE))</f>
        <v> </v>
      </c>
      <c r="P6" s="5" t="str">
        <f>IF(ISBLANK(VLOOKUP(期末试卷分析表!P3,'2、试卷（期末题目-课程目标）'!$A$1:$C$81,2,FALSE))," ",VLOOKUP(期末试卷分析表!P3,'2、试卷（期末题目-课程目标）'!$A$1:$C$81,2,FALSE))</f>
        <v> </v>
      </c>
      <c r="Q6" s="5" t="str">
        <f>IF(ISBLANK(VLOOKUP(期末试卷分析表!Q3,'2、试卷（期末题目-课程目标）'!$A$1:$C$81,2,FALSE))," ",VLOOKUP(期末试卷分析表!Q3,'2、试卷（期末题目-课程目标）'!$A$1:$C$81,2,FALSE))</f>
        <v> </v>
      </c>
      <c r="R6" s="5" t="str">
        <f>IF(ISBLANK(VLOOKUP(期末试卷分析表!R3,'2、试卷（期末题目-课程目标）'!$A$1:$C$81,2,FALSE))," ",VLOOKUP(期末试卷分析表!R3,'2、试卷（期末题目-课程目标）'!$A$1:$C$81,2,FALSE))</f>
        <v> </v>
      </c>
      <c r="S6" s="5" t="str">
        <f>IF(ISBLANK(VLOOKUP(期末试卷分析表!S3,'2、试卷（期末题目-课程目标）'!$A$1:$C$81,2,FALSE))," ",VLOOKUP(期末试卷分析表!S3,'2、试卷（期末题目-课程目标）'!$A$1:$C$81,2,FALSE))</f>
        <v> </v>
      </c>
      <c r="T6" s="5" t="str">
        <f>IF(ISBLANK(VLOOKUP(期末试卷分析表!T3,'2、试卷（期末题目-课程目标）'!$A$1:$C$81,2,FALSE))," ",VLOOKUP(期末试卷分析表!T3,'2、试卷（期末题目-课程目标）'!$A$1:$C$81,2,FALSE))</f>
        <v> </v>
      </c>
      <c r="U6" s="5" t="str">
        <f>IF(ISBLANK(VLOOKUP(期末试卷分析表!U3,'2、试卷（期末题目-课程目标）'!$A$1:$C$81,2,FALSE))," ",VLOOKUP(期末试卷分析表!U3,'2、试卷（期末题目-课程目标）'!$A$1:$C$81,2,FALSE))</f>
        <v> </v>
      </c>
      <c r="V6" s="5" t="str">
        <f>IF(ISBLANK(VLOOKUP(期末试卷分析表!V3,'2、试卷（期末题目-课程目标）'!$A$1:$C$81,2,FALSE))," ",VLOOKUP(期末试卷分析表!V3,'2、试卷（期末题目-课程目标）'!$A$1:$C$81,2,FALSE))</f>
        <v> </v>
      </c>
      <c r="W6" s="5" t="str">
        <f>IF(ISBLANK(VLOOKUP(期末试卷分析表!W3,'2、试卷（期末题目-课程目标）'!$A$1:$C$81,2,FALSE))," ",VLOOKUP(期末试卷分析表!W3,'2、试卷（期末题目-课程目标）'!$A$1:$C$81,2,FALSE))</f>
        <v> </v>
      </c>
      <c r="X6" s="5" t="str">
        <f>IF(ISBLANK(VLOOKUP(期末试卷分析表!X3,'2、试卷（期末题目-课程目标）'!$A$1:$C$81,2,FALSE))," ",VLOOKUP(期末试卷分析表!X3,'2、试卷（期末题目-课程目标）'!$A$1:$C$81,2,FALSE))</f>
        <v> </v>
      </c>
      <c r="Y6" s="5" t="str">
        <f>IF(ISBLANK(VLOOKUP(期末试卷分析表!Y3,'2、试卷（期末题目-课程目标）'!$A$1:$C$81,2,FALSE))," ",VLOOKUP(期末试卷分析表!Y3,'2、试卷（期末题目-课程目标）'!$A$1:$C$81,2,FALSE))</f>
        <v> </v>
      </c>
      <c r="Z6" s="5" t="str">
        <f>IF(ISBLANK(VLOOKUP(期末试卷分析表!Z3,'2、试卷（期末题目-课程目标）'!$A$1:$C$81,2,FALSE))," ",VLOOKUP(期末试卷分析表!Z3,'2、试卷（期末题目-课程目标）'!$A$1:$C$81,2,FALSE))</f>
        <v> </v>
      </c>
      <c r="AA6" s="5" t="str">
        <f>IF(ISBLANK(VLOOKUP(期末试卷分析表!AA3,'2、试卷（期末题目-课程目标）'!$A$1:$C$81,2,FALSE))," ",VLOOKUP(期末试卷分析表!AA3,'2、试卷（期末题目-课程目标）'!$A$1:$C$81,2,FALSE))</f>
        <v> </v>
      </c>
      <c r="AB6" s="5" t="str">
        <f>IF(ISBLANK(VLOOKUP(期末试卷分析表!AB3,'2、试卷（期末题目-课程目标）'!$A$1:$C$81,2,FALSE))," ",VLOOKUP(期末试卷分析表!AB3,'2、试卷（期末题目-课程目标）'!$A$1:$C$81,2,FALSE))</f>
        <v> </v>
      </c>
      <c r="AC6" s="5" t="str">
        <f>IF(ISBLANK(VLOOKUP(期末试卷分析表!AC3,'2、试卷（期末题目-课程目标）'!$A$1:$C$81,2,FALSE))," ",VLOOKUP(期末试卷分析表!AC3,'2、试卷（期末题目-课程目标）'!$A$1:$C$81,2,FALSE))</f>
        <v> </v>
      </c>
      <c r="AD6" s="5" t="str">
        <f>IF(ISBLANK(VLOOKUP(期末试卷分析表!AD3,'2、试卷（期末题目-课程目标）'!$A$1:$C$81,2,FALSE))," ",VLOOKUP(期末试卷分析表!AD3,'2、试卷（期末题目-课程目标）'!$A$1:$C$81,2,FALSE))</f>
        <v> </v>
      </c>
      <c r="AE6" s="5" t="str">
        <f>IF(ISBLANK(VLOOKUP(期末试卷分析表!AE3,'2、试卷（期末题目-课程目标）'!$A$1:$C$81,2,FALSE))," ",VLOOKUP(期末试卷分析表!AE3,'2、试卷（期末题目-课程目标）'!$A$1:$C$81,2,FALSE))</f>
        <v> </v>
      </c>
      <c r="AF6" s="5" t="str">
        <f>IF(ISBLANK(VLOOKUP(期末试卷分析表!AF3,'2、试卷（期末题目-课程目标）'!$A$1:$C$81,2,FALSE))," ",VLOOKUP(期末试卷分析表!AF3,'2、试卷（期末题目-课程目标）'!$A$1:$C$81,2,FALSE))</f>
        <v> </v>
      </c>
      <c r="AG6" s="5" t="str">
        <f>IF(ISBLANK(VLOOKUP(期末试卷分析表!AG3,'2、试卷（期末题目-课程目标）'!$A$1:$C$81,2,FALSE))," ",VLOOKUP(期末试卷分析表!AG3,'2、试卷（期末题目-课程目标）'!$A$1:$C$81,2,FALSE))</f>
        <v> </v>
      </c>
      <c r="AH6" s="5" t="str">
        <f>IF(ISBLANK(VLOOKUP(期末试卷分析表!AH3,'2、试卷（期末题目-课程目标）'!$A$1:$C$81,2,FALSE))," ",VLOOKUP(期末试卷分析表!AH3,'2、试卷（期末题目-课程目标）'!$A$1:$C$81,2,FALSE))</f>
        <v> </v>
      </c>
      <c r="AI6" s="5" t="str">
        <f>IF(ISBLANK(VLOOKUP(期末试卷分析表!AI3,'2、试卷（期末题目-课程目标）'!$A$1:$C$81,2,FALSE))," ",VLOOKUP(期末试卷分析表!AI3,'2、试卷（期末题目-课程目标）'!$A$1:$C$81,2,FALSE))</f>
        <v> </v>
      </c>
      <c r="AJ6" s="5" t="str">
        <f>IF(ISBLANK(VLOOKUP(期末试卷分析表!AJ3,'2、试卷（期末题目-课程目标）'!$A$1:$C$81,2,FALSE))," ",VLOOKUP(期末试卷分析表!AJ3,'2、试卷（期末题目-课程目标）'!$A$1:$C$81,2,FALSE))</f>
        <v> </v>
      </c>
      <c r="AK6" s="5" t="str">
        <f>IF(ISBLANK(VLOOKUP(期末试卷分析表!AK3,'2、试卷（期末题目-课程目标）'!$A$1:$C$81,2,FALSE))," ",VLOOKUP(期末试卷分析表!AK3,'2、试卷（期末题目-课程目标）'!$A$1:$C$81,2,FALSE))</f>
        <v> </v>
      </c>
      <c r="AL6" s="5" t="str">
        <f>IF(ISBLANK(VLOOKUP(期末试卷分析表!AL3,'2、试卷（期末题目-课程目标）'!$A$1:$C$81,2,FALSE))," ",VLOOKUP(期末试卷分析表!AL3,'2、试卷（期末题目-课程目标）'!$A$1:$C$81,2,FALSE))</f>
        <v> </v>
      </c>
      <c r="AM6" s="5" t="str">
        <f>IF(ISBLANK(VLOOKUP(期末试卷分析表!AM3,'2、试卷（期末题目-课程目标）'!$A$1:$C$81,2,FALSE))," ",VLOOKUP(期末试卷分析表!AM3,'2、试卷（期末题目-课程目标）'!$A$1:$C$81,2,FALSE))</f>
        <v> </v>
      </c>
      <c r="AN6" s="5" t="str">
        <f>IF(ISBLANK(VLOOKUP(期末试卷分析表!AN3,'2、试卷（期末题目-课程目标）'!$A$1:$C$81,2,FALSE))," ",VLOOKUP(期末试卷分析表!AN3,'2、试卷（期末题目-课程目标）'!$A$1:$C$81,2,FALSE))</f>
        <v> </v>
      </c>
      <c r="AO6" s="5" t="str">
        <f>IF(ISBLANK(VLOOKUP(期末试卷分析表!AO3,'2、试卷（期末题目-课程目标）'!$A$1:$C$81,2,FALSE))," ",VLOOKUP(期末试卷分析表!AO3,'2、试卷（期末题目-课程目标）'!$A$1:$C$81,2,FALSE))</f>
        <v> </v>
      </c>
      <c r="AP6" s="5" t="str">
        <f>IF(ISBLANK(VLOOKUP(期末试卷分析表!AP3,'2、试卷（期末题目-课程目标）'!$A$1:$C$81,2,FALSE))," ",VLOOKUP(期末试卷分析表!AP3,'2、试卷（期末题目-课程目标）'!$A$1:$C$81,2,FALSE))</f>
        <v> </v>
      </c>
      <c r="AQ6" s="5" t="str">
        <f>IF(ISBLANK(VLOOKUP(期末试卷分析表!AQ3,'2、试卷（期末题目-课程目标）'!$A$1:$C$81,2,FALSE))," ",VLOOKUP(期末试卷分析表!AQ3,'2、试卷（期末题目-课程目标）'!$A$1:$C$81,2,FALSE))</f>
        <v> </v>
      </c>
      <c r="AR6" s="5" t="str">
        <f>IF(ISBLANK(VLOOKUP(期末试卷分析表!AR3,'2、试卷（期末题目-课程目标）'!$A$1:$C$81,2,FALSE))," ",VLOOKUP(期末试卷分析表!AR3,'2、试卷（期末题目-课程目标）'!$A$1:$C$81,2,FALSE))</f>
        <v> </v>
      </c>
      <c r="AS6" s="5" t="str">
        <f>IF(ISBLANK(VLOOKUP(期末试卷分析表!AS3,'2、试卷（期末题目-课程目标）'!$A$1:$C$81,2,FALSE))," ",VLOOKUP(期末试卷分析表!AS3,'2、试卷（期末题目-课程目标）'!$A$1:$C$81,2,FALSE))</f>
        <v> </v>
      </c>
      <c r="AT6" s="5" t="str">
        <f>IF(ISBLANK(VLOOKUP(期末试卷分析表!AT3,'2、试卷（期末题目-课程目标）'!$A$1:$C$81,2,FALSE))," ",VLOOKUP(期末试卷分析表!AT3,'2、试卷（期末题目-课程目标）'!$A$1:$C$81,2,FALSE))</f>
        <v> </v>
      </c>
      <c r="AU6" s="5" t="str">
        <f>IF(ISBLANK(VLOOKUP(期末试卷分析表!AU3,'2、试卷（期末题目-课程目标）'!$A$1:$C$81,2,FALSE))," ",VLOOKUP(期末试卷分析表!AU3,'2、试卷（期末题目-课程目标）'!$A$1:$C$81,2,FALSE))</f>
        <v> </v>
      </c>
      <c r="AV6" s="5" t="str">
        <f>IF(ISBLANK(VLOOKUP(期末试卷分析表!AV3,'2、试卷（期末题目-课程目标）'!$A$1:$C$81,2,FALSE))," ",VLOOKUP(期末试卷分析表!AV3,'2、试卷（期末题目-课程目标）'!$A$1:$C$81,2,FALSE))</f>
        <v> </v>
      </c>
      <c r="AW6" s="5" t="str">
        <f>IF(ISBLANK(VLOOKUP(期末试卷分析表!AW3,'2、试卷（期末题目-课程目标）'!$A$1:$C$81,2,FALSE))," ",VLOOKUP(期末试卷分析表!AW3,'2、试卷（期末题目-课程目标）'!$A$1:$C$81,2,FALSE))</f>
        <v> </v>
      </c>
      <c r="AX6" s="5" t="str">
        <f>IF(ISBLANK(VLOOKUP(期末试卷分析表!AX3,'2、试卷（期末题目-课程目标）'!$A$1:$C$81,2,FALSE))," ",VLOOKUP(期末试卷分析表!AX3,'2、试卷（期末题目-课程目标）'!$A$1:$C$81,2,FALSE))</f>
        <v> </v>
      </c>
      <c r="AY6" s="5" t="str">
        <f>IF(ISBLANK(VLOOKUP(期末试卷分析表!AY3,'2、试卷（期末题目-课程目标）'!$A$1:$C$81,2,FALSE))," ",VLOOKUP(期末试卷分析表!AY3,'2、试卷（期末题目-课程目标）'!$A$1:$C$81,2,FALSE))</f>
        <v> </v>
      </c>
      <c r="AZ6" s="5" t="str">
        <f>IF(ISBLANK(VLOOKUP(期末试卷分析表!AZ3,'2、试卷（期末题目-课程目标）'!$A$1:$C$81,2,FALSE))," ",VLOOKUP(期末试卷分析表!AZ3,'2、试卷（期末题目-课程目标）'!$A$1:$C$81,2,FALSE))</f>
        <v> </v>
      </c>
      <c r="BA6" s="5" t="str">
        <f>IF(ISBLANK(VLOOKUP(期末试卷分析表!BA3,'2、试卷（期末题目-课程目标）'!$A$1:$C$81,2,FALSE))," ",VLOOKUP(期末试卷分析表!BA3,'2、试卷（期末题目-课程目标）'!$A$1:$C$81,2,FALSE))</f>
        <v> </v>
      </c>
      <c r="BB6" s="5" t="str">
        <f>IF(ISBLANK(VLOOKUP(期末试卷分析表!BB3,'2、试卷（期末题目-课程目标）'!$A$1:$C$81,2,FALSE))," ",VLOOKUP(期末试卷分析表!BB3,'2、试卷（期末题目-课程目标）'!$A$1:$C$81,2,FALSE))</f>
        <v> </v>
      </c>
      <c r="BC6" s="5" t="str">
        <f>IF(ISBLANK(VLOOKUP(期末试卷分析表!BC3,'2、试卷（期末题目-课程目标）'!$A$1:$C$81,2,FALSE))," ",VLOOKUP(期末试卷分析表!BC3,'2、试卷（期末题目-课程目标）'!$A$1:$C$81,2,FALSE))</f>
        <v> </v>
      </c>
      <c r="BD6" s="5" t="str">
        <f>IF(ISBLANK(VLOOKUP(期末试卷分析表!BD3,'2、试卷（期末题目-课程目标）'!$A$1:$C$81,2,FALSE))," ",VLOOKUP(期末试卷分析表!BD3,'2、试卷（期末题目-课程目标）'!$A$1:$C$81,2,FALSE))</f>
        <v> </v>
      </c>
      <c r="BE6" s="5" t="str">
        <f>IF(ISBLANK(VLOOKUP(期末试卷分析表!BE3,'2、试卷（期末题目-课程目标）'!$A$1:$C$81,2,FALSE))," ",VLOOKUP(期末试卷分析表!BE3,'2、试卷（期末题目-课程目标）'!$A$1:$C$81,2,FALSE))</f>
        <v> </v>
      </c>
      <c r="BF6" s="5" t="str">
        <f>IF(ISBLANK(VLOOKUP(期末试卷分析表!BF3,'2、试卷（期末题目-课程目标）'!$A$1:$C$81,2,FALSE))," ",VLOOKUP(期末试卷分析表!BF3,'2、试卷（期末题目-课程目标）'!$A$1:$C$81,2,FALSE))</f>
        <v> </v>
      </c>
      <c r="BG6" s="5" t="str">
        <f>IF(ISBLANK(VLOOKUP(期末试卷分析表!BG3,'2、试卷（期末题目-课程目标）'!$A$1:$C$81,2,FALSE))," ",VLOOKUP(期末试卷分析表!BG3,'2、试卷（期末题目-课程目标）'!$A$1:$C$81,2,FALSE))</f>
        <v> </v>
      </c>
      <c r="BH6" s="5" t="str">
        <f>IF(ISBLANK(VLOOKUP(期末试卷分析表!BH3,'2、试卷（期末题目-课程目标）'!$A$1:$C$81,2,FALSE))," ",VLOOKUP(期末试卷分析表!BH3,'2、试卷（期末题目-课程目标）'!$A$1:$C$81,2,FALSE))</f>
        <v> </v>
      </c>
      <c r="BI6" s="5" t="str">
        <f>IF(ISBLANK(VLOOKUP(期末试卷分析表!BI3,'2、试卷（期末题目-课程目标）'!$A$1:$C$81,2,FALSE))," ",VLOOKUP(期末试卷分析表!BI3,'2、试卷（期末题目-课程目标）'!$A$1:$C$81,2,FALSE))</f>
        <v> </v>
      </c>
      <c r="BJ6" s="5" t="str">
        <f>IF(ISBLANK(VLOOKUP(期末试卷分析表!BJ3,'2、试卷（期末题目-课程目标）'!$A$1:$C$81,2,FALSE))," ",VLOOKUP(期末试卷分析表!BJ3,'2、试卷（期末题目-课程目标）'!$A$1:$C$81,2,FALSE))</f>
        <v> </v>
      </c>
      <c r="BK6" s="5" t="str">
        <f>IF(ISBLANK(VLOOKUP(期末试卷分析表!BK3,'2、试卷（期末题目-课程目标）'!$A$1:$C$81,2,FALSE))," ",VLOOKUP(期末试卷分析表!BK3,'2、试卷（期末题目-课程目标）'!$A$1:$C$81,2,FALSE))</f>
        <v> </v>
      </c>
      <c r="BL6" s="5" t="str">
        <f>IF(ISBLANK(VLOOKUP(期末试卷分析表!BL3,'2、试卷（期末题目-课程目标）'!$A$1:$C$81,2,FALSE))," ",VLOOKUP(期末试卷分析表!BL3,'2、试卷（期末题目-课程目标）'!$A$1:$C$81,2,FALSE))</f>
        <v> </v>
      </c>
      <c r="BM6" s="5" t="str">
        <f>IF(ISBLANK(VLOOKUP(期末试卷分析表!BM3,'2、试卷（期末题目-课程目标）'!$A$1:$C$81,2,FALSE))," ",VLOOKUP(期末试卷分析表!BM3,'2、试卷（期末题目-课程目标）'!$A$1:$C$81,2,FALSE))</f>
        <v> </v>
      </c>
      <c r="BN6" s="5" t="str">
        <f>IF(ISBLANK(VLOOKUP(期末试卷分析表!BN3,'2、试卷（期末题目-课程目标）'!$A$1:$C$81,2,FALSE))," ",VLOOKUP(期末试卷分析表!BN3,'2、试卷（期末题目-课程目标）'!$A$1:$C$81,2,FALSE))</f>
        <v> </v>
      </c>
      <c r="BO6" s="5" t="str">
        <f>IF(ISBLANK(VLOOKUP(期末试卷分析表!BO3,'2、试卷（期末题目-课程目标）'!$A$1:$C$81,2,FALSE))," ",VLOOKUP(期末试卷分析表!BO3,'2、试卷（期末题目-课程目标）'!$A$1:$C$81,2,FALSE))</f>
        <v> </v>
      </c>
      <c r="BP6" s="5" t="str">
        <f>IF(ISBLANK(VLOOKUP(期末试卷分析表!BP3,'2、试卷（期末题目-课程目标）'!$A$1:$C$81,2,FALSE))," ",VLOOKUP(期末试卷分析表!BP3,'2、试卷（期末题目-课程目标）'!$A$1:$C$81,2,FALSE))</f>
        <v> </v>
      </c>
      <c r="BQ6" s="5" t="str">
        <f>IF(ISBLANK(VLOOKUP(期末试卷分析表!BQ3,'2、试卷（期末题目-课程目标）'!$A$1:$C$81,2,FALSE))," ",VLOOKUP(期末试卷分析表!BQ3,'2、试卷（期末题目-课程目标）'!$A$1:$C$81,2,FALSE))</f>
        <v> </v>
      </c>
      <c r="BR6" s="5" t="str">
        <f>IF(ISBLANK(VLOOKUP(期末试卷分析表!BR3,'2、试卷（期末题目-课程目标）'!$A$1:$C$81,2,FALSE))," ",VLOOKUP(期末试卷分析表!BR3,'2、试卷（期末题目-课程目标）'!$A$1:$C$81,2,FALSE))</f>
        <v> </v>
      </c>
      <c r="BS6" s="5" t="str">
        <f>IF(ISBLANK(VLOOKUP(期末试卷分析表!BS3,'2、试卷（期末题目-课程目标）'!$A$1:$C$81,2,FALSE))," ",VLOOKUP(期末试卷分析表!BS3,'2、试卷（期末题目-课程目标）'!$A$1:$C$81,2,FALSE))</f>
        <v> </v>
      </c>
      <c r="BT6" s="5" t="str">
        <f>IF(ISBLANK(VLOOKUP(期末试卷分析表!BT3,'2、试卷（期末题目-课程目标）'!$A$1:$C$81,2,FALSE))," ",VLOOKUP(期末试卷分析表!BT3,'2、试卷（期末题目-课程目标）'!$A$1:$C$81,2,FALSE))</f>
        <v> </v>
      </c>
      <c r="BU6" s="5" t="str">
        <f>IF(ISBLANK(VLOOKUP(期末试卷分析表!BU3,'2、试卷（期末题目-课程目标）'!$A$1:$C$81,2,FALSE))," ",VLOOKUP(期末试卷分析表!BU3,'2、试卷（期末题目-课程目标）'!$A$1:$C$81,2,FALSE))</f>
        <v> </v>
      </c>
      <c r="BV6" s="5" t="str">
        <f>IF(ISBLANK(VLOOKUP(期末试卷分析表!BV3,'2、试卷（期末题目-课程目标）'!$A$1:$C$81,2,FALSE))," ",VLOOKUP(期末试卷分析表!BV3,'2、试卷（期末题目-课程目标）'!$A$1:$C$81,2,FALSE))</f>
        <v> </v>
      </c>
      <c r="BW6" s="5" t="str">
        <f>IF(ISBLANK(VLOOKUP(期末试卷分析表!BW3,'2、试卷（期末题目-课程目标）'!$A$1:$C$81,2,FALSE))," ",VLOOKUP(期末试卷分析表!BW3,'2、试卷（期末题目-课程目标）'!$A$1:$C$81,2,FALSE))</f>
        <v> </v>
      </c>
      <c r="BX6" s="5" t="str">
        <f>IF(ISBLANK(VLOOKUP(期末试卷分析表!BX3,'2、试卷（期末题目-课程目标）'!$A$1:$C$81,2,FALSE))," ",VLOOKUP(期末试卷分析表!BX3,'2、试卷（期末题目-课程目标）'!$A$1:$C$81,2,FALSE))</f>
        <v> </v>
      </c>
      <c r="BY6" s="5" t="str">
        <f>IF(ISBLANK(VLOOKUP(期末试卷分析表!BY3,'2、试卷（期末题目-课程目标）'!$A$1:$C$81,2,FALSE))," ",VLOOKUP(期末试卷分析表!BY3,'2、试卷（期末题目-课程目标）'!$A$1:$C$81,2,FALSE))</f>
        <v> </v>
      </c>
      <c r="BZ6" s="5" t="str">
        <f>IF(ISBLANK(VLOOKUP(期末试卷分析表!BZ3,'2、试卷（期末题目-课程目标）'!$A$1:$C$81,2,FALSE))," ",VLOOKUP(期末试卷分析表!BZ3,'2、试卷（期末题目-课程目标）'!$A$1:$C$81,2,FALSE))</f>
        <v> </v>
      </c>
      <c r="CA6" s="5" t="str">
        <f>IF(ISBLANK(VLOOKUP(期末试卷分析表!CA3,'2、试卷（期末题目-课程目标）'!$A$1:$C$81,2,FALSE))," ",VLOOKUP(期末试卷分析表!CA3,'2、试卷（期末题目-课程目标）'!$A$1:$C$81,2,FALSE))</f>
        <v> </v>
      </c>
      <c r="CB6" s="5" t="str">
        <f>IF(ISBLANK(VLOOKUP(期末试卷分析表!CB3,'2、试卷（期末题目-课程目标）'!$A$1:$C$81,2,FALSE))," ",VLOOKUP(期末试卷分析表!CB3,'2、试卷（期末题目-课程目标）'!$A$1:$C$81,2,FALSE))</f>
        <v> </v>
      </c>
      <c r="CC6" s="5" t="str">
        <f>IF(ISBLANK(VLOOKUP(期末试卷分析表!CC3,'2、试卷（期末题目-课程目标）'!$A$1:$C$81,2,FALSE))," ",VLOOKUP(期末试卷分析表!CC3,'2、试卷（期末题目-课程目标）'!$A$1:$C$81,2,FALSE))</f>
        <v> </v>
      </c>
    </row>
    <row r="7" spans="1:81">
      <c r="A7" s="7" t="s">
        <v>72</v>
      </c>
      <c r="B7" s="5">
        <f>IF(ISBLANK(VLOOKUP(期末试卷分析表!B3,'2、试卷（期末题目-课程目标）'!$A$1:$C$81,3,FALSE))," ",VLOOKUP(期末试卷分析表!B3,'2、试卷（期末题目-课程目标）'!$A$1:$C$81,3,FALSE))</f>
        <v>20</v>
      </c>
      <c r="C7" s="5">
        <f>IF(ISBLANK(VLOOKUP(期末试卷分析表!C3,'2、试卷（期末题目-课程目标）'!$A$1:$C$81,3,FALSE))," ",VLOOKUP(期末试卷分析表!C3,'2、试卷（期末题目-课程目标）'!$A$1:$C$81,3,FALSE))</f>
        <v>20</v>
      </c>
      <c r="D7" s="5">
        <f>IF(ISBLANK(VLOOKUP(期末试卷分析表!D3,'2、试卷（期末题目-课程目标）'!$A$1:$C$81,3,FALSE))," ",VLOOKUP(期末试卷分析表!D3,'2、试卷（期末题目-课程目标）'!$A$1:$C$81,3,FALSE))</f>
        <v>20</v>
      </c>
      <c r="E7" s="5">
        <f>IF(ISBLANK(VLOOKUP(期末试卷分析表!E3,'2、试卷（期末题目-课程目标）'!$A$1:$C$81,3,FALSE))," ",VLOOKUP(期末试卷分析表!E3,'2、试卷（期末题目-课程目标）'!$A$1:$C$81,3,FALSE))</f>
        <v>20</v>
      </c>
      <c r="F7" s="5">
        <f>IF(ISBLANK(VLOOKUP(期末试卷分析表!F3,'2、试卷（期末题目-课程目标）'!$A$1:$C$81,3,FALSE))," ",VLOOKUP(期末试卷分析表!F3,'2、试卷（期末题目-课程目标）'!$A$1:$C$81,3,FALSE))</f>
        <v>20</v>
      </c>
      <c r="G7" s="5" t="str">
        <f>IF(ISBLANK(VLOOKUP(期末试卷分析表!G3,'2、试卷（期末题目-课程目标）'!$A$1:$C$81,3,FALSE))," ",VLOOKUP(期末试卷分析表!G3,'2、试卷（期末题目-课程目标）'!$A$1:$C$81,3,FALSE))</f>
        <v> </v>
      </c>
      <c r="H7" s="5" t="str">
        <f>IF(ISBLANK(VLOOKUP(期末试卷分析表!H3,'2、试卷（期末题目-课程目标）'!$A$1:$C$81,3,FALSE))," ",VLOOKUP(期末试卷分析表!H3,'2、试卷（期末题目-课程目标）'!$A$1:$C$81,3,FALSE))</f>
        <v> </v>
      </c>
      <c r="I7" s="5" t="str">
        <f>IF(ISBLANK(VLOOKUP(期末试卷分析表!I3,'2、试卷（期末题目-课程目标）'!$A$1:$C$81,3,FALSE))," ",VLOOKUP(期末试卷分析表!I3,'2、试卷（期末题目-课程目标）'!$A$1:$C$81,3,FALSE))</f>
        <v> </v>
      </c>
      <c r="J7" s="5" t="str">
        <f>IF(ISBLANK(VLOOKUP(期末试卷分析表!J3,'2、试卷（期末题目-课程目标）'!$A$1:$C$81,3,FALSE))," ",VLOOKUP(期末试卷分析表!J3,'2、试卷（期末题目-课程目标）'!$A$1:$C$81,3,FALSE))</f>
        <v> </v>
      </c>
      <c r="K7" s="5" t="str">
        <f>IF(ISBLANK(VLOOKUP(期末试卷分析表!K3,'2、试卷（期末题目-课程目标）'!$A$1:$C$81,3,FALSE))," ",VLOOKUP(期末试卷分析表!K3,'2、试卷（期末题目-课程目标）'!$A$1:$C$81,3,FALSE))</f>
        <v> </v>
      </c>
      <c r="L7" s="5" t="str">
        <f>IF(ISBLANK(VLOOKUP(期末试卷分析表!L3,'2、试卷（期末题目-课程目标）'!$A$1:$C$81,3,FALSE))," ",VLOOKUP(期末试卷分析表!L3,'2、试卷（期末题目-课程目标）'!$A$1:$C$81,3,FALSE))</f>
        <v> </v>
      </c>
      <c r="M7" s="5" t="str">
        <f>IF(ISBLANK(VLOOKUP(期末试卷分析表!M3,'2、试卷（期末题目-课程目标）'!$A$1:$C$81,3,FALSE))," ",VLOOKUP(期末试卷分析表!M3,'2、试卷（期末题目-课程目标）'!$A$1:$C$81,3,FALSE))</f>
        <v> </v>
      </c>
      <c r="N7" s="5" t="str">
        <f>IF(ISBLANK(VLOOKUP(期末试卷分析表!N3,'2、试卷（期末题目-课程目标）'!$A$1:$C$81,3,FALSE))," ",VLOOKUP(期末试卷分析表!N3,'2、试卷（期末题目-课程目标）'!$A$1:$C$81,3,FALSE))</f>
        <v> </v>
      </c>
      <c r="O7" s="5" t="str">
        <f>IF(ISBLANK(VLOOKUP(期末试卷分析表!O3,'2、试卷（期末题目-课程目标）'!$A$1:$C$81,3,FALSE))," ",VLOOKUP(期末试卷分析表!O3,'2、试卷（期末题目-课程目标）'!$A$1:$C$81,3,FALSE))</f>
        <v> </v>
      </c>
      <c r="P7" s="5" t="str">
        <f>IF(ISBLANK(VLOOKUP(期末试卷分析表!P3,'2、试卷（期末题目-课程目标）'!$A$1:$C$81,3,FALSE))," ",VLOOKUP(期末试卷分析表!P3,'2、试卷（期末题目-课程目标）'!$A$1:$C$81,3,FALSE))</f>
        <v> </v>
      </c>
      <c r="Q7" s="5" t="str">
        <f>IF(ISBLANK(VLOOKUP(期末试卷分析表!Q3,'2、试卷（期末题目-课程目标）'!$A$1:$C$81,3,FALSE))," ",VLOOKUP(期末试卷分析表!Q3,'2、试卷（期末题目-课程目标）'!$A$1:$C$81,3,FALSE))</f>
        <v> </v>
      </c>
      <c r="R7" s="5" t="str">
        <f>IF(ISBLANK(VLOOKUP(期末试卷分析表!R3,'2、试卷（期末题目-课程目标）'!$A$1:$C$81,3,FALSE))," ",VLOOKUP(期末试卷分析表!R3,'2、试卷（期末题目-课程目标）'!$A$1:$C$81,3,FALSE))</f>
        <v> </v>
      </c>
      <c r="S7" s="5" t="str">
        <f>IF(ISBLANK(VLOOKUP(期末试卷分析表!S3,'2、试卷（期末题目-课程目标）'!$A$1:$C$81,3,FALSE))," ",VLOOKUP(期末试卷分析表!S3,'2、试卷（期末题目-课程目标）'!$A$1:$C$81,3,FALSE))</f>
        <v> </v>
      </c>
      <c r="T7" s="5" t="str">
        <f>IF(ISBLANK(VLOOKUP(期末试卷分析表!T3,'2、试卷（期末题目-课程目标）'!$A$1:$C$81,3,FALSE))," ",VLOOKUP(期末试卷分析表!T3,'2、试卷（期末题目-课程目标）'!$A$1:$C$81,3,FALSE))</f>
        <v> </v>
      </c>
      <c r="U7" s="5" t="str">
        <f>IF(ISBLANK(VLOOKUP(期末试卷分析表!U3,'2、试卷（期末题目-课程目标）'!$A$1:$C$81,3,FALSE))," ",VLOOKUP(期末试卷分析表!U3,'2、试卷（期末题目-课程目标）'!$A$1:$C$81,3,FALSE))</f>
        <v> </v>
      </c>
      <c r="V7" s="5" t="str">
        <f>IF(ISBLANK(VLOOKUP(期末试卷分析表!V3,'2、试卷（期末题目-课程目标）'!$A$1:$C$81,3,FALSE))," ",VLOOKUP(期末试卷分析表!V3,'2、试卷（期末题目-课程目标）'!$A$1:$C$81,3,FALSE))</f>
        <v> </v>
      </c>
      <c r="W7" s="5" t="str">
        <f>IF(ISBLANK(VLOOKUP(期末试卷分析表!W3,'2、试卷（期末题目-课程目标）'!$A$1:$C$81,3,FALSE))," ",VLOOKUP(期末试卷分析表!W3,'2、试卷（期末题目-课程目标）'!$A$1:$C$81,3,FALSE))</f>
        <v> </v>
      </c>
      <c r="X7" s="5" t="str">
        <f>IF(ISBLANK(VLOOKUP(期末试卷分析表!X3,'2、试卷（期末题目-课程目标）'!$A$1:$C$81,3,FALSE))," ",VLOOKUP(期末试卷分析表!X3,'2、试卷（期末题目-课程目标）'!$A$1:$C$81,3,FALSE))</f>
        <v> </v>
      </c>
      <c r="Y7" s="5" t="str">
        <f>IF(ISBLANK(VLOOKUP(期末试卷分析表!Y3,'2、试卷（期末题目-课程目标）'!$A$1:$C$81,3,FALSE))," ",VLOOKUP(期末试卷分析表!Y3,'2、试卷（期末题目-课程目标）'!$A$1:$C$81,3,FALSE))</f>
        <v> </v>
      </c>
      <c r="Z7" s="5" t="str">
        <f>IF(ISBLANK(VLOOKUP(期末试卷分析表!Z3,'2、试卷（期末题目-课程目标）'!$A$1:$C$81,3,FALSE))," ",VLOOKUP(期末试卷分析表!Z3,'2、试卷（期末题目-课程目标）'!$A$1:$C$81,3,FALSE))</f>
        <v> </v>
      </c>
      <c r="AA7" s="5" t="str">
        <f>IF(ISBLANK(VLOOKUP(期末试卷分析表!AA3,'2、试卷（期末题目-课程目标）'!$A$1:$C$81,3,FALSE))," ",VLOOKUP(期末试卷分析表!AA3,'2、试卷（期末题目-课程目标）'!$A$1:$C$81,3,FALSE))</f>
        <v> </v>
      </c>
      <c r="AB7" s="5" t="str">
        <f>IF(ISBLANK(VLOOKUP(期末试卷分析表!AB3,'2、试卷（期末题目-课程目标）'!$A$1:$C$81,3,FALSE))," ",VLOOKUP(期末试卷分析表!AB3,'2、试卷（期末题目-课程目标）'!$A$1:$C$81,3,FALSE))</f>
        <v> </v>
      </c>
      <c r="AC7" s="5" t="str">
        <f>IF(ISBLANK(VLOOKUP(期末试卷分析表!AC3,'2、试卷（期末题目-课程目标）'!$A$1:$C$81,3,FALSE))," ",VLOOKUP(期末试卷分析表!AC3,'2、试卷（期末题目-课程目标）'!$A$1:$C$81,3,FALSE))</f>
        <v> </v>
      </c>
      <c r="AD7" s="5" t="str">
        <f>IF(ISBLANK(VLOOKUP(期末试卷分析表!AD3,'2、试卷（期末题目-课程目标）'!$A$1:$C$81,3,FALSE))," ",VLOOKUP(期末试卷分析表!AD3,'2、试卷（期末题目-课程目标）'!$A$1:$C$81,3,FALSE))</f>
        <v> </v>
      </c>
      <c r="AE7" s="5" t="str">
        <f>IF(ISBLANK(VLOOKUP(期末试卷分析表!AE3,'2、试卷（期末题目-课程目标）'!$A$1:$C$81,3,FALSE))," ",VLOOKUP(期末试卷分析表!AE3,'2、试卷（期末题目-课程目标）'!$A$1:$C$81,3,FALSE))</f>
        <v> </v>
      </c>
      <c r="AF7" s="5" t="str">
        <f>IF(ISBLANK(VLOOKUP(期末试卷分析表!AF3,'2、试卷（期末题目-课程目标）'!$A$1:$C$81,3,FALSE))," ",VLOOKUP(期末试卷分析表!AF3,'2、试卷（期末题目-课程目标）'!$A$1:$C$81,3,FALSE))</f>
        <v> </v>
      </c>
      <c r="AG7" s="5" t="str">
        <f>IF(ISBLANK(VLOOKUP(期末试卷分析表!AG3,'2、试卷（期末题目-课程目标）'!$A$1:$C$81,3,FALSE))," ",VLOOKUP(期末试卷分析表!AG3,'2、试卷（期末题目-课程目标）'!$A$1:$C$81,3,FALSE))</f>
        <v> </v>
      </c>
      <c r="AH7" s="5" t="str">
        <f>IF(ISBLANK(VLOOKUP(期末试卷分析表!AH3,'2、试卷（期末题目-课程目标）'!$A$1:$C$81,3,FALSE))," ",VLOOKUP(期末试卷分析表!AH3,'2、试卷（期末题目-课程目标）'!$A$1:$C$81,3,FALSE))</f>
        <v> </v>
      </c>
      <c r="AI7" s="5" t="str">
        <f>IF(ISBLANK(VLOOKUP(期末试卷分析表!AI3,'2、试卷（期末题目-课程目标）'!$A$1:$C$81,3,FALSE))," ",VLOOKUP(期末试卷分析表!AI3,'2、试卷（期末题目-课程目标）'!$A$1:$C$81,3,FALSE))</f>
        <v> </v>
      </c>
      <c r="AJ7" s="5" t="str">
        <f>IF(ISBLANK(VLOOKUP(期末试卷分析表!AJ3,'2、试卷（期末题目-课程目标）'!$A$1:$C$81,3,FALSE))," ",VLOOKUP(期末试卷分析表!AJ3,'2、试卷（期末题目-课程目标）'!$A$1:$C$81,3,FALSE))</f>
        <v> </v>
      </c>
      <c r="AK7" s="5" t="str">
        <f>IF(ISBLANK(VLOOKUP(期末试卷分析表!AK3,'2、试卷（期末题目-课程目标）'!$A$1:$C$81,3,FALSE))," ",VLOOKUP(期末试卷分析表!AK3,'2、试卷（期末题目-课程目标）'!$A$1:$C$81,3,FALSE))</f>
        <v> </v>
      </c>
      <c r="AL7" s="5" t="str">
        <f>IF(ISBLANK(VLOOKUP(期末试卷分析表!AL3,'2、试卷（期末题目-课程目标）'!$A$1:$C$81,3,FALSE))," ",VLOOKUP(期末试卷分析表!AL3,'2、试卷（期末题目-课程目标）'!$A$1:$C$81,3,FALSE))</f>
        <v> </v>
      </c>
      <c r="AM7" s="5" t="str">
        <f>IF(ISBLANK(VLOOKUP(期末试卷分析表!AM3,'2、试卷（期末题目-课程目标）'!$A$1:$C$81,3,FALSE))," ",VLOOKUP(期末试卷分析表!AM3,'2、试卷（期末题目-课程目标）'!$A$1:$C$81,3,FALSE))</f>
        <v> </v>
      </c>
      <c r="AN7" s="5" t="str">
        <f>IF(ISBLANK(VLOOKUP(期末试卷分析表!AN3,'2、试卷（期末题目-课程目标）'!$A$1:$C$81,3,FALSE))," ",VLOOKUP(期末试卷分析表!AN3,'2、试卷（期末题目-课程目标）'!$A$1:$C$81,3,FALSE))</f>
        <v> </v>
      </c>
      <c r="AO7" s="5" t="str">
        <f>IF(ISBLANK(VLOOKUP(期末试卷分析表!AO3,'2、试卷（期末题目-课程目标）'!$A$1:$C$81,3,FALSE))," ",VLOOKUP(期末试卷分析表!AO3,'2、试卷（期末题目-课程目标）'!$A$1:$C$81,3,FALSE))</f>
        <v> </v>
      </c>
      <c r="AP7" s="5" t="str">
        <f>IF(ISBLANK(VLOOKUP(期末试卷分析表!AP3,'2、试卷（期末题目-课程目标）'!$A$1:$C$81,3,FALSE))," ",VLOOKUP(期末试卷分析表!AP3,'2、试卷（期末题目-课程目标）'!$A$1:$C$81,3,FALSE))</f>
        <v> </v>
      </c>
      <c r="AQ7" s="5" t="str">
        <f>IF(ISBLANK(VLOOKUP(期末试卷分析表!AQ3,'2、试卷（期末题目-课程目标）'!$A$1:$C$81,3,FALSE))," ",VLOOKUP(期末试卷分析表!AQ3,'2、试卷（期末题目-课程目标）'!$A$1:$C$81,3,FALSE))</f>
        <v> </v>
      </c>
      <c r="AR7" s="5" t="str">
        <f>IF(ISBLANK(VLOOKUP(期末试卷分析表!AR3,'2、试卷（期末题目-课程目标）'!$A$1:$C$81,3,FALSE))," ",VLOOKUP(期末试卷分析表!AR3,'2、试卷（期末题目-课程目标）'!$A$1:$C$81,3,FALSE))</f>
        <v> </v>
      </c>
      <c r="AS7" s="5" t="str">
        <f>IF(ISBLANK(VLOOKUP(期末试卷分析表!AS3,'2、试卷（期末题目-课程目标）'!$A$1:$C$81,3,FALSE))," ",VLOOKUP(期末试卷分析表!AS3,'2、试卷（期末题目-课程目标）'!$A$1:$C$81,3,FALSE))</f>
        <v> </v>
      </c>
      <c r="AT7" s="5" t="str">
        <f>IF(ISBLANK(VLOOKUP(期末试卷分析表!AT3,'2、试卷（期末题目-课程目标）'!$A$1:$C$81,3,FALSE))," ",VLOOKUP(期末试卷分析表!AT3,'2、试卷（期末题目-课程目标）'!$A$1:$C$81,3,FALSE))</f>
        <v> </v>
      </c>
      <c r="AU7" s="5" t="str">
        <f>IF(ISBLANK(VLOOKUP(期末试卷分析表!AU3,'2、试卷（期末题目-课程目标）'!$A$1:$C$81,3,FALSE))," ",VLOOKUP(期末试卷分析表!AU3,'2、试卷（期末题目-课程目标）'!$A$1:$C$81,3,FALSE))</f>
        <v> </v>
      </c>
      <c r="AV7" s="5" t="str">
        <f>IF(ISBLANK(VLOOKUP(期末试卷分析表!AV3,'2、试卷（期末题目-课程目标）'!$A$1:$C$81,3,FALSE))," ",VLOOKUP(期末试卷分析表!AV3,'2、试卷（期末题目-课程目标）'!$A$1:$C$81,3,FALSE))</f>
        <v> </v>
      </c>
      <c r="AW7" s="5" t="str">
        <f>IF(ISBLANK(VLOOKUP(期末试卷分析表!AW3,'2、试卷（期末题目-课程目标）'!$A$1:$C$81,3,FALSE))," ",VLOOKUP(期末试卷分析表!AW3,'2、试卷（期末题目-课程目标）'!$A$1:$C$81,3,FALSE))</f>
        <v> </v>
      </c>
      <c r="AX7" s="5" t="str">
        <f>IF(ISBLANK(VLOOKUP(期末试卷分析表!AX3,'2、试卷（期末题目-课程目标）'!$A$1:$C$81,3,FALSE))," ",VLOOKUP(期末试卷分析表!AX3,'2、试卷（期末题目-课程目标）'!$A$1:$C$81,3,FALSE))</f>
        <v> </v>
      </c>
      <c r="AY7" s="5" t="str">
        <f>IF(ISBLANK(VLOOKUP(期末试卷分析表!AY3,'2、试卷（期末题目-课程目标）'!$A$1:$C$81,3,FALSE))," ",VLOOKUP(期末试卷分析表!AY3,'2、试卷（期末题目-课程目标）'!$A$1:$C$81,3,FALSE))</f>
        <v> </v>
      </c>
      <c r="AZ7" s="5" t="str">
        <f>IF(ISBLANK(VLOOKUP(期末试卷分析表!AZ3,'2、试卷（期末题目-课程目标）'!$A$1:$C$81,3,FALSE))," ",VLOOKUP(期末试卷分析表!AZ3,'2、试卷（期末题目-课程目标）'!$A$1:$C$81,3,FALSE))</f>
        <v> </v>
      </c>
      <c r="BA7" s="5" t="str">
        <f>IF(ISBLANK(VLOOKUP(期末试卷分析表!BA3,'2、试卷（期末题目-课程目标）'!$A$1:$C$81,3,FALSE))," ",VLOOKUP(期末试卷分析表!BA3,'2、试卷（期末题目-课程目标）'!$A$1:$C$81,3,FALSE))</f>
        <v> </v>
      </c>
      <c r="BB7" s="5" t="str">
        <f>IF(ISBLANK(VLOOKUP(期末试卷分析表!BB3,'2、试卷（期末题目-课程目标）'!$A$1:$C$81,3,FALSE))," ",VLOOKUP(期末试卷分析表!BB3,'2、试卷（期末题目-课程目标）'!$A$1:$C$81,3,FALSE))</f>
        <v> </v>
      </c>
      <c r="BC7" s="5" t="str">
        <f>IF(ISBLANK(VLOOKUP(期末试卷分析表!BC3,'2、试卷（期末题目-课程目标）'!$A$1:$C$81,3,FALSE))," ",VLOOKUP(期末试卷分析表!BC3,'2、试卷（期末题目-课程目标）'!$A$1:$C$81,3,FALSE))</f>
        <v> </v>
      </c>
      <c r="BD7" s="5" t="str">
        <f>IF(ISBLANK(VLOOKUP(期末试卷分析表!BD3,'2、试卷（期末题目-课程目标）'!$A$1:$C$81,3,FALSE))," ",VLOOKUP(期末试卷分析表!BD3,'2、试卷（期末题目-课程目标）'!$A$1:$C$81,3,FALSE))</f>
        <v> </v>
      </c>
      <c r="BE7" s="5" t="str">
        <f>IF(ISBLANK(VLOOKUP(期末试卷分析表!BE3,'2、试卷（期末题目-课程目标）'!$A$1:$C$81,3,FALSE))," ",VLOOKUP(期末试卷分析表!BE3,'2、试卷（期末题目-课程目标）'!$A$1:$C$81,3,FALSE))</f>
        <v> </v>
      </c>
      <c r="BF7" s="5" t="str">
        <f>IF(ISBLANK(VLOOKUP(期末试卷分析表!BF3,'2、试卷（期末题目-课程目标）'!$A$1:$C$81,3,FALSE))," ",VLOOKUP(期末试卷分析表!BF3,'2、试卷（期末题目-课程目标）'!$A$1:$C$81,3,FALSE))</f>
        <v> </v>
      </c>
      <c r="BG7" s="5" t="str">
        <f>IF(ISBLANK(VLOOKUP(期末试卷分析表!BG3,'2、试卷（期末题目-课程目标）'!$A$1:$C$81,3,FALSE))," ",VLOOKUP(期末试卷分析表!BG3,'2、试卷（期末题目-课程目标）'!$A$1:$C$81,3,FALSE))</f>
        <v> </v>
      </c>
      <c r="BH7" s="5" t="str">
        <f>IF(ISBLANK(VLOOKUP(期末试卷分析表!BH3,'2、试卷（期末题目-课程目标）'!$A$1:$C$81,3,FALSE))," ",VLOOKUP(期末试卷分析表!BH3,'2、试卷（期末题目-课程目标）'!$A$1:$C$81,3,FALSE))</f>
        <v> </v>
      </c>
      <c r="BI7" s="5" t="str">
        <f>IF(ISBLANK(VLOOKUP(期末试卷分析表!BI3,'2、试卷（期末题目-课程目标）'!$A$1:$C$81,3,FALSE))," ",VLOOKUP(期末试卷分析表!BI3,'2、试卷（期末题目-课程目标）'!$A$1:$C$81,3,FALSE))</f>
        <v> </v>
      </c>
      <c r="BJ7" s="5" t="str">
        <f>IF(ISBLANK(VLOOKUP(期末试卷分析表!BJ3,'2、试卷（期末题目-课程目标）'!$A$1:$C$81,3,FALSE))," ",VLOOKUP(期末试卷分析表!BJ3,'2、试卷（期末题目-课程目标）'!$A$1:$C$81,3,FALSE))</f>
        <v> </v>
      </c>
      <c r="BK7" s="5" t="str">
        <f>IF(ISBLANK(VLOOKUP(期末试卷分析表!BK3,'2、试卷（期末题目-课程目标）'!$A$1:$C$81,3,FALSE))," ",VLOOKUP(期末试卷分析表!BK3,'2、试卷（期末题目-课程目标）'!$A$1:$C$81,3,FALSE))</f>
        <v> </v>
      </c>
      <c r="BL7" s="5" t="str">
        <f>IF(ISBLANK(VLOOKUP(期末试卷分析表!BL3,'2、试卷（期末题目-课程目标）'!$A$1:$C$81,3,FALSE))," ",VLOOKUP(期末试卷分析表!BL3,'2、试卷（期末题目-课程目标）'!$A$1:$C$81,3,FALSE))</f>
        <v> </v>
      </c>
      <c r="BM7" s="5" t="str">
        <f>IF(ISBLANK(VLOOKUP(期末试卷分析表!BM3,'2、试卷（期末题目-课程目标）'!$A$1:$C$81,3,FALSE))," ",VLOOKUP(期末试卷分析表!BM3,'2、试卷（期末题目-课程目标）'!$A$1:$C$81,3,FALSE))</f>
        <v> </v>
      </c>
      <c r="BN7" s="5" t="str">
        <f>IF(ISBLANK(VLOOKUP(期末试卷分析表!BN3,'2、试卷（期末题目-课程目标）'!$A$1:$C$81,3,FALSE))," ",VLOOKUP(期末试卷分析表!BN3,'2、试卷（期末题目-课程目标）'!$A$1:$C$81,3,FALSE))</f>
        <v> </v>
      </c>
      <c r="BO7" s="5" t="str">
        <f>IF(ISBLANK(VLOOKUP(期末试卷分析表!BO3,'2、试卷（期末题目-课程目标）'!$A$1:$C$81,3,FALSE))," ",VLOOKUP(期末试卷分析表!BO3,'2、试卷（期末题目-课程目标）'!$A$1:$C$81,3,FALSE))</f>
        <v> </v>
      </c>
      <c r="BP7" s="5" t="str">
        <f>IF(ISBLANK(VLOOKUP(期末试卷分析表!BP3,'2、试卷（期末题目-课程目标）'!$A$1:$C$81,3,FALSE))," ",VLOOKUP(期末试卷分析表!BP3,'2、试卷（期末题目-课程目标）'!$A$1:$C$81,3,FALSE))</f>
        <v> </v>
      </c>
      <c r="BQ7" s="5" t="str">
        <f>IF(ISBLANK(VLOOKUP(期末试卷分析表!BQ3,'2、试卷（期末题目-课程目标）'!$A$1:$C$81,3,FALSE))," ",VLOOKUP(期末试卷分析表!BQ3,'2、试卷（期末题目-课程目标）'!$A$1:$C$81,3,FALSE))</f>
        <v> </v>
      </c>
      <c r="BR7" s="5" t="str">
        <f>IF(ISBLANK(VLOOKUP(期末试卷分析表!BR3,'2、试卷（期末题目-课程目标）'!$A$1:$C$81,3,FALSE))," ",VLOOKUP(期末试卷分析表!BR3,'2、试卷（期末题目-课程目标）'!$A$1:$C$81,3,FALSE))</f>
        <v> </v>
      </c>
      <c r="BS7" s="5" t="str">
        <f>IF(ISBLANK(VLOOKUP(期末试卷分析表!BS3,'2、试卷（期末题目-课程目标）'!$A$1:$C$81,3,FALSE))," ",VLOOKUP(期末试卷分析表!BS3,'2、试卷（期末题目-课程目标）'!$A$1:$C$81,3,FALSE))</f>
        <v> </v>
      </c>
      <c r="BT7" s="5" t="str">
        <f>IF(ISBLANK(VLOOKUP(期末试卷分析表!BT3,'2、试卷（期末题目-课程目标）'!$A$1:$C$81,3,FALSE))," ",VLOOKUP(期末试卷分析表!BT3,'2、试卷（期末题目-课程目标）'!$A$1:$C$81,3,FALSE))</f>
        <v> </v>
      </c>
      <c r="BU7" s="5" t="str">
        <f>IF(ISBLANK(VLOOKUP(期末试卷分析表!BU3,'2、试卷（期末题目-课程目标）'!$A$1:$C$81,3,FALSE))," ",VLOOKUP(期末试卷分析表!BU3,'2、试卷（期末题目-课程目标）'!$A$1:$C$81,3,FALSE))</f>
        <v> </v>
      </c>
      <c r="BV7" s="5" t="str">
        <f>IF(ISBLANK(VLOOKUP(期末试卷分析表!BV3,'2、试卷（期末题目-课程目标）'!$A$1:$C$81,3,FALSE))," ",VLOOKUP(期末试卷分析表!BV3,'2、试卷（期末题目-课程目标）'!$A$1:$C$81,3,FALSE))</f>
        <v> </v>
      </c>
      <c r="BW7" s="5" t="str">
        <f>IF(ISBLANK(VLOOKUP(期末试卷分析表!BW3,'2、试卷（期末题目-课程目标）'!$A$1:$C$81,3,FALSE))," ",VLOOKUP(期末试卷分析表!BW3,'2、试卷（期末题目-课程目标）'!$A$1:$C$81,3,FALSE))</f>
        <v> </v>
      </c>
      <c r="BX7" s="5" t="str">
        <f>IF(ISBLANK(VLOOKUP(期末试卷分析表!BX3,'2、试卷（期末题目-课程目标）'!$A$1:$C$81,3,FALSE))," ",VLOOKUP(期末试卷分析表!BX3,'2、试卷（期末题目-课程目标）'!$A$1:$C$81,3,FALSE))</f>
        <v> </v>
      </c>
      <c r="BY7" s="5" t="str">
        <f>IF(ISBLANK(VLOOKUP(期末试卷分析表!BY3,'2、试卷（期末题目-课程目标）'!$A$1:$C$81,3,FALSE))," ",VLOOKUP(期末试卷分析表!BY3,'2、试卷（期末题目-课程目标）'!$A$1:$C$81,3,FALSE))</f>
        <v> </v>
      </c>
      <c r="BZ7" s="5" t="str">
        <f>IF(ISBLANK(VLOOKUP(期末试卷分析表!BZ3,'2、试卷（期末题目-课程目标）'!$A$1:$C$81,3,FALSE))," ",VLOOKUP(期末试卷分析表!BZ3,'2、试卷（期末题目-课程目标）'!$A$1:$C$81,3,FALSE))</f>
        <v> </v>
      </c>
      <c r="CA7" s="5" t="str">
        <f>IF(ISBLANK(VLOOKUP(期末试卷分析表!CA3,'2、试卷（期末题目-课程目标）'!$A$1:$C$81,3,FALSE))," ",VLOOKUP(期末试卷分析表!CA3,'2、试卷（期末题目-课程目标）'!$A$1:$C$81,3,FALSE))</f>
        <v> </v>
      </c>
      <c r="CB7" s="5" t="str">
        <f>IF(ISBLANK(VLOOKUP(期末试卷分析表!CB3,'2、试卷（期末题目-课程目标）'!$A$1:$C$81,3,FALSE))," ",VLOOKUP(期末试卷分析表!CB3,'2、试卷（期末题目-课程目标）'!$A$1:$C$81,3,FALSE))</f>
        <v> </v>
      </c>
      <c r="CC7" s="5" t="str">
        <f>IF(ISBLANK(VLOOKUP(期末试卷分析表!CC3,'2、试卷（期末题目-课程目标）'!$A$1:$C$81,3,FALSE))," ",VLOOKUP(期末试卷分析表!CC3,'2、试卷（期末题目-课程目标）'!$A$1:$C$81,3,FALSE))</f>
        <v> </v>
      </c>
    </row>
    <row r="10" spans="1:12">
      <c r="A10" s="5"/>
      <c r="B10" s="6" t="s">
        <v>57</v>
      </c>
      <c r="C10" s="6" t="s">
        <v>59</v>
      </c>
      <c r="D10" s="6" t="s">
        <v>60</v>
      </c>
      <c r="E10" s="6" t="s">
        <v>61</v>
      </c>
      <c r="F10" s="6" t="s">
        <v>62</v>
      </c>
      <c r="G10" s="6" t="s">
        <v>63</v>
      </c>
      <c r="H10" s="6" t="s">
        <v>64</v>
      </c>
      <c r="I10" s="6" t="s">
        <v>66</v>
      </c>
      <c r="J10" s="6" t="s">
        <v>67</v>
      </c>
      <c r="K10" s="6" t="s">
        <v>68</v>
      </c>
      <c r="L10" s="18" t="s">
        <v>792</v>
      </c>
    </row>
    <row r="11" spans="1:12">
      <c r="A11" s="7" t="s">
        <v>789</v>
      </c>
      <c r="B11" s="10" t="e">
        <f ca="1">IF(ISBLANK('2、试卷（期末）'!B2)," ",SUM(INDIRECT(ADDRESS(2,COLUMN(CD4)+1,,,"期末试卷原始成绩表")):INDIRECT(ADDRESS(($B$1+1),COLUMN(CD4)+1,,,"期末试卷原始成绩表"))))</f>
        <v>#REF!</v>
      </c>
      <c r="C11" s="10" t="e">
        <f ca="1">IF(ISBLANK('2、试卷（期末）'!B3)," ",SUM(INDIRECT(ADDRESS(2,COLUMN(CE4)+1,,,"期末试卷原始成绩表")):INDIRECT(ADDRESS(($B$1+1),COLUMN(CE4)+1,,,"期末试卷原始成绩表"))))</f>
        <v>#REF!</v>
      </c>
      <c r="D11" s="10" t="str">
        <f ca="1">IF(ISBLANK('2、试卷（期末）'!B4)," ",SUM(INDIRECT(ADDRESS(2,COLUMN(CF4)+1,,,"期末试卷原始成绩表")):INDIRECT(ADDRESS(($B$1+1),COLUMN(CF4)+1,,,"期末试卷原始成绩表"))))</f>
        <v> </v>
      </c>
      <c r="E11" s="10" t="str">
        <f ca="1">IF(ISBLANK('2、试卷（期末）'!B5)," ",SUM(INDIRECT(ADDRESS(2,COLUMN(CG4)+1,,,"期末试卷原始成绩表")):INDIRECT(ADDRESS(($B$1+1),COLUMN(CG4)+1,,,"期末试卷原始成绩表"))))</f>
        <v> </v>
      </c>
      <c r="F11" s="10" t="str">
        <f ca="1">IF(ISBLANK('2、试卷（期末）'!B6)," ",SUM(INDIRECT(ADDRESS(2,COLUMN(CH4)+1,,,"期末试卷原始成绩表")):INDIRECT(ADDRESS(($B$1+1),COLUMN(CH4)+1,,,"期末试卷原始成绩表"))))</f>
        <v> </v>
      </c>
      <c r="G11" s="10" t="str">
        <f ca="1">IF(ISBLANK('2、试卷（期末）'!B7)," ",SUM(INDIRECT(ADDRESS(2,COLUMN(CI4)+1,,,"期末试卷原始成绩表")):INDIRECT(ADDRESS(($B$1+1),COLUMN(CI4)+1,,,"期末试卷原始成绩表"))))</f>
        <v> </v>
      </c>
      <c r="H11" s="10" t="str">
        <f ca="1">IF(ISBLANK('2、试卷（期末）'!B8)," ",SUM(INDIRECT(ADDRESS(2,COLUMN(CJ4)+1,,,"期末试卷原始成绩表")):INDIRECT(ADDRESS(($B$1+1),COLUMN(CJ4)+1,,,"期末试卷原始成绩表"))))</f>
        <v> </v>
      </c>
      <c r="I11" s="10" t="str">
        <f ca="1">IF(ISBLANK('2、试卷（期末）'!B9)," ",SUM(INDIRECT(ADDRESS(2,COLUMN(CK4)+1,,,"期末试卷原始成绩表")):INDIRECT(ADDRESS(($B$1+1),COLUMN(CK4)+1,,,"期末试卷原始成绩表"))))</f>
        <v> </v>
      </c>
      <c r="J11" s="10" t="str">
        <f ca="1">IF(ISBLANK('2、试卷（期末）'!B10)," ",SUM(INDIRECT(ADDRESS(2,COLUMN(CL4)+1,,,"期末试卷原始成绩表")):INDIRECT(ADDRESS(($B$1+1),COLUMN(CL4)+1,,,"期末试卷原始成绩表"))))</f>
        <v> </v>
      </c>
      <c r="K11" s="10" t="str">
        <f ca="1">IF(ISBLANK('2、试卷（期末）'!B11)," ",SUM(INDIRECT(ADDRESS(2,COLUMN(CM4)+1,,,"期末试卷原始成绩表")):INDIRECT(ADDRESS(($B$1+1),COLUMN(CM4)+1,,,"期末试卷原始成绩表"))))</f>
        <v> </v>
      </c>
      <c r="L11" s="10" t="e">
        <f ca="1">IF('3、期末成绩'!CO2=0," ",SUM(INDIRECT(ADDRESS(2,COLUMN(CN4)+1,,,"期末试卷原始成绩表")):INDIRECT(ADDRESS(($B$1+1),COLUMN(CN4)+1,,,"期末试卷原始成绩表"))))</f>
        <v>#REF!</v>
      </c>
    </row>
    <row r="12" spans="1:12">
      <c r="A12" s="7" t="s">
        <v>790</v>
      </c>
      <c r="B12" s="9" t="e">
        <f ca="1">IF(B11=" "," ",B11/$B$1)</f>
        <v>#REF!</v>
      </c>
      <c r="C12" s="9" t="e">
        <f ca="1" t="shared" ref="C12" si="11">IF(C11=" "," ",C11/$B$1)</f>
        <v>#REF!</v>
      </c>
      <c r="D12" s="9" t="str">
        <f ca="1" t="shared" ref="D12" si="12">IF(D11=" "," ",D11/$B$1)</f>
        <v> </v>
      </c>
      <c r="E12" s="9" t="str">
        <f ca="1" t="shared" ref="E12" si="13">IF(E11=" "," ",E11/$B$1)</f>
        <v> </v>
      </c>
      <c r="F12" s="9" t="str">
        <f ca="1" t="shared" ref="F12:L12" si="14">IF(F11=" "," ",F11/$B$1)</f>
        <v> </v>
      </c>
      <c r="G12" s="9" t="str">
        <f ca="1" t="shared" si="14"/>
        <v> </v>
      </c>
      <c r="H12" s="9" t="str">
        <f ca="1" t="shared" si="14"/>
        <v> </v>
      </c>
      <c r="I12" s="9" t="str">
        <f ca="1" t="shared" si="14"/>
        <v> </v>
      </c>
      <c r="J12" s="9" t="str">
        <f ca="1" t="shared" si="14"/>
        <v> </v>
      </c>
      <c r="K12" s="9" t="str">
        <f ca="1" t="shared" si="14"/>
        <v> </v>
      </c>
      <c r="L12" s="9" t="e">
        <f ca="1" t="shared" si="14"/>
        <v>#REF!</v>
      </c>
    </row>
    <row r="13" spans="1:12">
      <c r="A13" s="7" t="s">
        <v>72</v>
      </c>
      <c r="B13" s="5" t="e">
        <f ca="1" t="array" ref="B13">IF(B11=" "," ",SUM(IF(COLUMN(B7:CC7)&lt;(2+SUM('2、试卷（期末）'!B2)),B7:CC7,)))</f>
        <v>#REF!</v>
      </c>
      <c r="C13" s="5" t="e">
        <f ca="1" t="array" ref="C13">IF(C11=" "," ",SUM(IF(COLUMN(B7:CC7)&lt;(2+SUM('2、试卷（期末）'!B2:B3)),B7:CC7,))-SUM(B13))</f>
        <v>#REF!</v>
      </c>
      <c r="D13" s="5" t="str">
        <f ca="1" t="array" ref="D13">IF(D11=" "," ",SUM(IF(COLUMN(B7:CC7)&lt;(2+SUM('2、试卷（期末）'!B2:B4)),B7:CC7,))-SUM(B13:C13))</f>
        <v> </v>
      </c>
      <c r="E13" s="5" t="str">
        <f ca="1" t="array" ref="E13">IF(E11=" "," ",SUM(IF(COLUMN(B7:CC7)&lt;(2+SUM('2、试卷（期末）'!B2:B5)),B7:CC7,))-SUM(B13:D13))</f>
        <v> </v>
      </c>
      <c r="F13" s="5" t="str">
        <f ca="1" t="array" ref="F13">IF(F11=" "," ",SUM(IF(COLUMN(B7:CC7)&lt;(2+SUM('2、试卷（期末）'!B2:B6)),B7:CC7,))-SUM(B13:E13))</f>
        <v> </v>
      </c>
      <c r="G13" s="5" t="str">
        <f ca="1" t="array" ref="G13">IF(G11=" "," ",SUM(IF(COLUMN(B7:CC7)&lt;(2+SUM('2、试卷（期末）'!B2:B7)),B7:CC7,))-SUM(B13:F13))</f>
        <v> </v>
      </c>
      <c r="H13" s="5" t="str">
        <f ca="1" t="array" ref="H13">IF(H11=" "," ",SUM(IF(COLUMN(B7:CC7)&lt;(2+SUM('2、试卷（期末）'!B2:B8)),B7:CC7,))-SUM(B13:G13))</f>
        <v> </v>
      </c>
      <c r="I13" s="5" t="str">
        <f ca="1" t="array" ref="I13">IF(I11=" "," ",SUM(IF(COLUMN(B7:CC7)&lt;(2+SUM('2、试卷（期末）'!B2:B9)),B7:CC7,))-SUM(B13:H13))</f>
        <v> </v>
      </c>
      <c r="J13" s="5" t="str">
        <f ca="1" t="array" ref="J13">IF(J11=" "," ",SUM(IF(COLUMN(B7:CC7)&lt;(2+SUM('2、试卷（期末）'!B2:B10)),B7:CC7,))-SUM(B13:I13))</f>
        <v> </v>
      </c>
      <c r="K13" s="5" t="str">
        <f ca="1" t="array" ref="K13">IF(K11=" "," ",SUM(IF(COLUMN(B7:CC7)&lt;(2+SUM('2、试卷（期末）'!B2:B11)),B7:CC7,))-SUM(B13:J13))</f>
        <v> </v>
      </c>
      <c r="L13" s="5" t="e">
        <f ca="1">SUM(B13:K13)</f>
        <v>#REF!</v>
      </c>
    </row>
    <row r="15" spans="1:81">
      <c r="A15" s="11" t="s">
        <v>793</v>
      </c>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row>
    <row r="16" spans="1:81">
      <c r="A16" s="5"/>
      <c r="B16" s="6" t="s">
        <v>73</v>
      </c>
      <c r="C16" s="6" t="s">
        <v>76</v>
      </c>
      <c r="D16" s="6" t="s">
        <v>78</v>
      </c>
      <c r="E16" s="6" t="s">
        <v>80</v>
      </c>
      <c r="F16" s="6" t="s">
        <v>81</v>
      </c>
      <c r="G16" s="6" t="s">
        <v>85</v>
      </c>
      <c r="H16" s="6" t="s">
        <v>86</v>
      </c>
      <c r="I16" s="6" t="s">
        <v>87</v>
      </c>
      <c r="J16" s="6" t="s">
        <v>88</v>
      </c>
      <c r="K16" s="6" t="s">
        <v>89</v>
      </c>
      <c r="L16" s="6" t="s">
        <v>90</v>
      </c>
      <c r="M16" s="6" t="s">
        <v>91</v>
      </c>
      <c r="N16" s="6" t="s">
        <v>92</v>
      </c>
      <c r="O16" s="6" t="s">
        <v>93</v>
      </c>
      <c r="P16" s="6" t="s">
        <v>94</v>
      </c>
      <c r="Q16" s="6" t="s">
        <v>95</v>
      </c>
      <c r="R16" s="6" t="s">
        <v>96</v>
      </c>
      <c r="S16" s="6" t="s">
        <v>97</v>
      </c>
      <c r="T16" s="6" t="s">
        <v>98</v>
      </c>
      <c r="U16" s="6" t="s">
        <v>99</v>
      </c>
      <c r="V16" s="6" t="s">
        <v>100</v>
      </c>
      <c r="W16" s="6" t="s">
        <v>101</v>
      </c>
      <c r="X16" s="6" t="s">
        <v>102</v>
      </c>
      <c r="Y16" s="6" t="s">
        <v>103</v>
      </c>
      <c r="Z16" s="6" t="s">
        <v>104</v>
      </c>
      <c r="AA16" s="6" t="s">
        <v>105</v>
      </c>
      <c r="AB16" s="6" t="s">
        <v>106</v>
      </c>
      <c r="AC16" s="6" t="s">
        <v>107</v>
      </c>
      <c r="AD16" s="6" t="s">
        <v>108</v>
      </c>
      <c r="AE16" s="6" t="s">
        <v>109</v>
      </c>
      <c r="AF16" s="6" t="s">
        <v>110</v>
      </c>
      <c r="AG16" s="6" t="s">
        <v>111</v>
      </c>
      <c r="AH16" s="6" t="s">
        <v>112</v>
      </c>
      <c r="AI16" s="6" t="s">
        <v>113</v>
      </c>
      <c r="AJ16" s="6" t="s">
        <v>114</v>
      </c>
      <c r="AK16" s="6" t="s">
        <v>115</v>
      </c>
      <c r="AL16" s="6" t="s">
        <v>116</v>
      </c>
      <c r="AM16" s="6" t="s">
        <v>117</v>
      </c>
      <c r="AN16" s="6" t="s">
        <v>118</v>
      </c>
      <c r="AO16" s="6" t="s">
        <v>119</v>
      </c>
      <c r="AP16" s="6" t="s">
        <v>120</v>
      </c>
      <c r="AQ16" s="6" t="s">
        <v>121</v>
      </c>
      <c r="AR16" s="6" t="s">
        <v>122</v>
      </c>
      <c r="AS16" s="6" t="s">
        <v>123</v>
      </c>
      <c r="AT16" s="6" t="s">
        <v>124</v>
      </c>
      <c r="AU16" s="6" t="s">
        <v>125</v>
      </c>
      <c r="AV16" s="6" t="s">
        <v>126</v>
      </c>
      <c r="AW16" s="6" t="s">
        <v>127</v>
      </c>
      <c r="AX16" s="6" t="s">
        <v>128</v>
      </c>
      <c r="AY16" s="6" t="s">
        <v>129</v>
      </c>
      <c r="AZ16" s="6" t="s">
        <v>130</v>
      </c>
      <c r="BA16" s="6" t="s">
        <v>131</v>
      </c>
      <c r="BB16" s="6" t="s">
        <v>132</v>
      </c>
      <c r="BC16" s="6" t="s">
        <v>133</v>
      </c>
      <c r="BD16" s="6" t="s">
        <v>134</v>
      </c>
      <c r="BE16" s="6" t="s">
        <v>135</v>
      </c>
      <c r="BF16" s="6" t="s">
        <v>136</v>
      </c>
      <c r="BG16" s="6" t="s">
        <v>137</v>
      </c>
      <c r="BH16" s="6" t="s">
        <v>138</v>
      </c>
      <c r="BI16" s="6" t="s">
        <v>139</v>
      </c>
      <c r="BJ16" s="6" t="s">
        <v>140</v>
      </c>
      <c r="BK16" s="6" t="s">
        <v>141</v>
      </c>
      <c r="BL16" s="6" t="s">
        <v>142</v>
      </c>
      <c r="BM16" s="6" t="s">
        <v>143</v>
      </c>
      <c r="BN16" s="6" t="s">
        <v>144</v>
      </c>
      <c r="BO16" s="6" t="s">
        <v>145</v>
      </c>
      <c r="BP16" s="6" t="s">
        <v>146</v>
      </c>
      <c r="BQ16" s="6" t="s">
        <v>147</v>
      </c>
      <c r="BR16" s="6" t="s">
        <v>148</v>
      </c>
      <c r="BS16" s="6" t="s">
        <v>149</v>
      </c>
      <c r="BT16" s="6" t="s">
        <v>150</v>
      </c>
      <c r="BU16" s="6" t="s">
        <v>151</v>
      </c>
      <c r="BV16" s="6" t="s">
        <v>152</v>
      </c>
      <c r="BW16" s="6" t="s">
        <v>153</v>
      </c>
      <c r="BX16" s="6" t="s">
        <v>154</v>
      </c>
      <c r="BY16" s="6" t="s">
        <v>155</v>
      </c>
      <c r="BZ16" s="6" t="s">
        <v>156</v>
      </c>
      <c r="CA16" s="6" t="s">
        <v>157</v>
      </c>
      <c r="CB16" s="6" t="s">
        <v>158</v>
      </c>
      <c r="CC16" s="6" t="s">
        <v>159</v>
      </c>
    </row>
    <row r="17" spans="1:81">
      <c r="A17" s="7" t="s">
        <v>794</v>
      </c>
      <c r="B17" s="12" t="e">
        <f ca="1">IF(B7=" "," ",1-B5/B7)</f>
        <v>#REF!</v>
      </c>
      <c r="C17" s="12" t="e">
        <f ca="1" t="shared" ref="C17" si="15">IF(C7=" "," ",1-C5/C7)</f>
        <v>#REF!</v>
      </c>
      <c r="D17" s="12" t="e">
        <f ca="1" t="shared" ref="D17" si="16">IF(D7=" "," ",1-D5/D7)</f>
        <v>#REF!</v>
      </c>
      <c r="E17" s="12" t="e">
        <f ca="1" t="shared" ref="E17" si="17">IF(E7=" "," ",1-E5/E7)</f>
        <v>#REF!</v>
      </c>
      <c r="F17" s="12" t="e">
        <f ca="1" t="shared" ref="F17:AI17" si="18">IF(F7=" "," ",1-F5/F7)</f>
        <v>#REF!</v>
      </c>
      <c r="G17" s="12" t="str">
        <f ca="1" t="shared" si="18"/>
        <v> </v>
      </c>
      <c r="H17" s="12" t="str">
        <f ca="1" t="shared" si="18"/>
        <v> </v>
      </c>
      <c r="I17" s="12" t="str">
        <f ca="1" t="shared" si="18"/>
        <v> </v>
      </c>
      <c r="J17" s="12" t="str">
        <f ca="1" t="shared" si="18"/>
        <v> </v>
      </c>
      <c r="K17" s="12" t="str">
        <f ca="1" t="shared" si="18"/>
        <v> </v>
      </c>
      <c r="L17" s="12" t="str">
        <f ca="1" t="shared" si="18"/>
        <v> </v>
      </c>
      <c r="M17" s="12" t="str">
        <f ca="1" t="shared" si="18"/>
        <v> </v>
      </c>
      <c r="N17" s="12" t="str">
        <f ca="1" t="shared" si="18"/>
        <v> </v>
      </c>
      <c r="O17" s="12" t="str">
        <f ca="1" t="shared" si="18"/>
        <v> </v>
      </c>
      <c r="P17" s="12" t="str">
        <f ca="1" t="shared" si="18"/>
        <v> </v>
      </c>
      <c r="Q17" s="12" t="str">
        <f ca="1" t="shared" si="18"/>
        <v> </v>
      </c>
      <c r="R17" s="12" t="str">
        <f ca="1" t="shared" si="18"/>
        <v> </v>
      </c>
      <c r="S17" s="12" t="str">
        <f ca="1" t="shared" si="18"/>
        <v> </v>
      </c>
      <c r="T17" s="12" t="str">
        <f ca="1" t="shared" si="18"/>
        <v> </v>
      </c>
      <c r="U17" s="12" t="str">
        <f ca="1" t="shared" si="18"/>
        <v> </v>
      </c>
      <c r="V17" s="12" t="str">
        <f ca="1" t="shared" si="18"/>
        <v> </v>
      </c>
      <c r="W17" s="12" t="str">
        <f ca="1" t="shared" si="18"/>
        <v> </v>
      </c>
      <c r="X17" s="12" t="str">
        <f ca="1" t="shared" si="18"/>
        <v> </v>
      </c>
      <c r="Y17" s="12" t="str">
        <f ca="1" t="shared" si="18"/>
        <v> </v>
      </c>
      <c r="Z17" s="12" t="str">
        <f ca="1" t="shared" si="18"/>
        <v> </v>
      </c>
      <c r="AA17" s="12" t="str">
        <f ca="1" t="shared" si="18"/>
        <v> </v>
      </c>
      <c r="AB17" s="12" t="str">
        <f ca="1" t="shared" si="18"/>
        <v> </v>
      </c>
      <c r="AC17" s="12" t="str">
        <f ca="1" t="shared" si="18"/>
        <v> </v>
      </c>
      <c r="AD17" s="12" t="str">
        <f ca="1" t="shared" si="18"/>
        <v> </v>
      </c>
      <c r="AE17" s="12" t="str">
        <f ca="1" t="shared" si="18"/>
        <v> </v>
      </c>
      <c r="AF17" s="12" t="str">
        <f ca="1" t="shared" si="18"/>
        <v> </v>
      </c>
      <c r="AG17" s="12" t="str">
        <f ca="1" t="shared" si="18"/>
        <v> </v>
      </c>
      <c r="AH17" s="12" t="str">
        <f ca="1" t="shared" si="18"/>
        <v> </v>
      </c>
      <c r="AI17" s="12" t="str">
        <f ca="1" t="shared" si="18"/>
        <v> </v>
      </c>
      <c r="AJ17" s="12" t="str">
        <f ca="1" t="shared" ref="AJ17" si="19">IF(AJ7=" "," ",1-AJ5/AJ7)</f>
        <v> </v>
      </c>
      <c r="AK17" s="12" t="str">
        <f ca="1" t="shared" ref="AK17" si="20">IF(AK7=" "," ",1-AK5/AK7)</f>
        <v> </v>
      </c>
      <c r="AL17" s="12" t="str">
        <f ca="1" t="shared" ref="AL17:BN17" si="21">IF(AL7=" "," ",1-AL5/AL7)</f>
        <v> </v>
      </c>
      <c r="AM17" s="12" t="str">
        <f ca="1" t="shared" si="21"/>
        <v> </v>
      </c>
      <c r="AN17" s="12" t="str">
        <f ca="1" t="shared" si="21"/>
        <v> </v>
      </c>
      <c r="AO17" s="12" t="str">
        <f ca="1" t="shared" si="21"/>
        <v> </v>
      </c>
      <c r="AP17" s="12" t="str">
        <f ca="1" t="shared" si="21"/>
        <v> </v>
      </c>
      <c r="AQ17" s="12" t="str">
        <f ca="1" t="shared" si="21"/>
        <v> </v>
      </c>
      <c r="AR17" s="12" t="str">
        <f ca="1" t="shared" si="21"/>
        <v> </v>
      </c>
      <c r="AS17" s="12" t="str">
        <f ca="1" t="shared" si="21"/>
        <v> </v>
      </c>
      <c r="AT17" s="12" t="str">
        <f ca="1" t="shared" si="21"/>
        <v> </v>
      </c>
      <c r="AU17" s="12" t="str">
        <f ca="1" t="shared" si="21"/>
        <v> </v>
      </c>
      <c r="AV17" s="12" t="str">
        <f ca="1" t="shared" si="21"/>
        <v> </v>
      </c>
      <c r="AW17" s="12" t="str">
        <f ca="1" t="shared" si="21"/>
        <v> </v>
      </c>
      <c r="AX17" s="12" t="str">
        <f ca="1" t="shared" si="21"/>
        <v> </v>
      </c>
      <c r="AY17" s="12" t="str">
        <f ca="1" t="shared" si="21"/>
        <v> </v>
      </c>
      <c r="AZ17" s="12" t="str">
        <f ca="1" t="shared" si="21"/>
        <v> </v>
      </c>
      <c r="BA17" s="12" t="str">
        <f ca="1" t="shared" si="21"/>
        <v> </v>
      </c>
      <c r="BB17" s="12" t="str">
        <f ca="1" t="shared" si="21"/>
        <v> </v>
      </c>
      <c r="BC17" s="12" t="str">
        <f ca="1" t="shared" si="21"/>
        <v> </v>
      </c>
      <c r="BD17" s="12" t="str">
        <f ca="1" t="shared" si="21"/>
        <v> </v>
      </c>
      <c r="BE17" s="12" t="str">
        <f ca="1" t="shared" si="21"/>
        <v> </v>
      </c>
      <c r="BF17" s="12" t="str">
        <f ca="1" t="shared" si="21"/>
        <v> </v>
      </c>
      <c r="BG17" s="12" t="str">
        <f ca="1" t="shared" si="21"/>
        <v> </v>
      </c>
      <c r="BH17" s="12" t="str">
        <f ca="1" t="shared" si="21"/>
        <v> </v>
      </c>
      <c r="BI17" s="12" t="str">
        <f ca="1" t="shared" si="21"/>
        <v> </v>
      </c>
      <c r="BJ17" s="12" t="str">
        <f ca="1" t="shared" si="21"/>
        <v> </v>
      </c>
      <c r="BK17" s="12" t="str">
        <f ca="1" t="shared" si="21"/>
        <v> </v>
      </c>
      <c r="BL17" s="12" t="str">
        <f ca="1" t="shared" si="21"/>
        <v> </v>
      </c>
      <c r="BM17" s="12" t="str">
        <f ca="1" t="shared" si="21"/>
        <v> </v>
      </c>
      <c r="BN17" s="12" t="str">
        <f ca="1" t="shared" si="21"/>
        <v> </v>
      </c>
      <c r="BO17" s="12" t="str">
        <f ca="1" t="shared" ref="BO17" si="22">IF(BO7=" "," ",1-BO5/BO7)</f>
        <v> </v>
      </c>
      <c r="BP17" s="12" t="str">
        <f ca="1" t="shared" ref="BP17" si="23">IF(BP7=" "," ",1-BP5/BP7)</f>
        <v> </v>
      </c>
      <c r="BQ17" s="12" t="str">
        <f ca="1" t="shared" ref="BQ17" si="24">IF(BQ7=" "," ",1-BQ5/BQ7)</f>
        <v> </v>
      </c>
      <c r="BR17" s="12" t="str">
        <f ca="1" t="shared" ref="BR17:CC17" si="25">IF(BR7=" "," ",1-BR5/BR7)</f>
        <v> </v>
      </c>
      <c r="BS17" s="12" t="str">
        <f ca="1" t="shared" si="25"/>
        <v> </v>
      </c>
      <c r="BT17" s="12" t="str">
        <f ca="1" t="shared" si="25"/>
        <v> </v>
      </c>
      <c r="BU17" s="12" t="str">
        <f ca="1" t="shared" si="25"/>
        <v> </v>
      </c>
      <c r="BV17" s="12" t="str">
        <f ca="1" t="shared" si="25"/>
        <v> </v>
      </c>
      <c r="BW17" s="12" t="str">
        <f ca="1" t="shared" si="25"/>
        <v> </v>
      </c>
      <c r="BX17" s="12" t="str">
        <f ca="1" t="shared" si="25"/>
        <v> </v>
      </c>
      <c r="BY17" s="12" t="str">
        <f ca="1" t="shared" si="25"/>
        <v> </v>
      </c>
      <c r="BZ17" s="12" t="str">
        <f ca="1" t="shared" si="25"/>
        <v> </v>
      </c>
      <c r="CA17" s="12" t="str">
        <f ca="1" t="shared" si="25"/>
        <v> </v>
      </c>
      <c r="CB17" s="12" t="str">
        <f ca="1" t="shared" si="25"/>
        <v> </v>
      </c>
      <c r="CC17" s="12" t="str">
        <f ca="1" t="shared" si="25"/>
        <v> </v>
      </c>
    </row>
    <row r="18" spans="1:81">
      <c r="A18" s="7" t="s">
        <v>795</v>
      </c>
      <c r="B18" s="12" t="e">
        <f ca="1">IF(B7=" "," ",(AVERAGEIF(INDIRECT(ADDRESS(2,COLUMN(B7)+1,,,"期末试卷原始成绩表")):INDIRECT(ADDRESS(($B$1+1),COLUMN(B7)+1,,,"期末试卷原始成绩表")),"&gt;="&amp;PERCENTILE(INDIRECT(ADDRESS(2,COLUMN(B7)+1,,,"期末试卷原始成绩表")):INDIRECT(ADDRESS(($B$1+1),COLUMN(B7)+1,,,"期末试卷原始成绩表")),0.73))-AVERAGEIF(INDIRECT(ADDRESS(2,COLUMN(B7)+1,,,"期末试卷原始成绩表")):INDIRECT(ADDRESS(($B$1+1),COLUMN(B7)+1,,,"期末试卷原始成绩表")),"&lt;="&amp;PERCENTILE(INDIRECT(ADDRESS(2,COLUMN(B7)+1,,,"期末试卷原始成绩表")):INDIRECT(ADDRESS(($B$1+1),COLUMN(B7)+1,,,"期末试卷原始成绩表")),0.27)))/期末试卷分析表!B7)</f>
        <v>#REF!</v>
      </c>
      <c r="C18" s="12" t="e">
        <f ca="1">IF(C7=" "," ",(AVERAGEIF(INDIRECT(ADDRESS(2,COLUMN(C7)+1,,,"期末试卷原始成绩表")):INDIRECT(ADDRESS(($B$1+1),COLUMN(C7)+1,,,"期末试卷原始成绩表")),"&gt;="&amp;PERCENTILE(INDIRECT(ADDRESS(2,COLUMN(C7)+1,,,"期末试卷原始成绩表")):INDIRECT(ADDRESS(($B$1+1),COLUMN(C7)+1,,,"期末试卷原始成绩表")),0.73))-AVERAGEIF(INDIRECT(ADDRESS(2,COLUMN(C7)+1,,,"期末试卷原始成绩表")):INDIRECT(ADDRESS(($B$1+1),COLUMN(C7)+1,,,"期末试卷原始成绩表")),"&lt;="&amp;PERCENTILE(INDIRECT(ADDRESS(2,COLUMN(C7)+1,,,"期末试卷原始成绩表")):INDIRECT(ADDRESS(($B$1+1),COLUMN(C7)+1,,,"期末试卷原始成绩表")),0.27)))/期末试卷分析表!C7)</f>
        <v>#REF!</v>
      </c>
      <c r="D18" s="12" t="e">
        <f ca="1">IF(D7=" "," ",(AVERAGEIF(INDIRECT(ADDRESS(2,COLUMN(D7)+1,,,"期末试卷原始成绩表")):INDIRECT(ADDRESS(($B$1+1),COLUMN(D7)+1,,,"期末试卷原始成绩表")),"&gt;="&amp;PERCENTILE(INDIRECT(ADDRESS(2,COLUMN(D7)+1,,,"期末试卷原始成绩表")):INDIRECT(ADDRESS(($B$1+1),COLUMN(D7)+1,,,"期末试卷原始成绩表")),0.73))-AVERAGEIF(INDIRECT(ADDRESS(2,COLUMN(D7)+1,,,"期末试卷原始成绩表")):INDIRECT(ADDRESS(($B$1+1),COLUMN(D7)+1,,,"期末试卷原始成绩表")),"&lt;="&amp;PERCENTILE(INDIRECT(ADDRESS(2,COLUMN(D7)+1,,,"期末试卷原始成绩表")):INDIRECT(ADDRESS(($B$1+1),COLUMN(D7)+1,,,"期末试卷原始成绩表")),0.27)))/期末试卷分析表!D7)</f>
        <v>#REF!</v>
      </c>
      <c r="E18" s="12" t="e">
        <f ca="1">IF(E7=" "," ",(AVERAGEIF(INDIRECT(ADDRESS(2,COLUMN(E7)+1,,,"期末试卷原始成绩表")):INDIRECT(ADDRESS(($B$1+1),COLUMN(E7)+1,,,"期末试卷原始成绩表")),"&gt;="&amp;PERCENTILE(INDIRECT(ADDRESS(2,COLUMN(E7)+1,,,"期末试卷原始成绩表")):INDIRECT(ADDRESS(($B$1+1),COLUMN(E7)+1,,,"期末试卷原始成绩表")),0.73))-AVERAGEIF(INDIRECT(ADDRESS(2,COLUMN(E7)+1,,,"期末试卷原始成绩表")):INDIRECT(ADDRESS(($B$1+1),COLUMN(E7)+1,,,"期末试卷原始成绩表")),"&lt;="&amp;PERCENTILE(INDIRECT(ADDRESS(2,COLUMN(E7)+1,,,"期末试卷原始成绩表")):INDIRECT(ADDRESS(($B$1+1),COLUMN(E7)+1,,,"期末试卷原始成绩表")),0.27)))/期末试卷分析表!E7)</f>
        <v>#REF!</v>
      </c>
      <c r="F18" s="12" t="e">
        <f ca="1">IF(F7=" "," ",(AVERAGEIF(INDIRECT(ADDRESS(2,COLUMN(F7)+1,,,"期末试卷原始成绩表")):INDIRECT(ADDRESS(($B$1+1),COLUMN(F7)+1,,,"期末试卷原始成绩表")),"&gt;="&amp;PERCENTILE(INDIRECT(ADDRESS(2,COLUMN(F7)+1,,,"期末试卷原始成绩表")):INDIRECT(ADDRESS(($B$1+1),COLUMN(F7)+1,,,"期末试卷原始成绩表")),0.73))-AVERAGEIF(INDIRECT(ADDRESS(2,COLUMN(F7)+1,,,"期末试卷原始成绩表")):INDIRECT(ADDRESS(($B$1+1),COLUMN(F7)+1,,,"期末试卷原始成绩表")),"&lt;="&amp;PERCENTILE(INDIRECT(ADDRESS(2,COLUMN(F7)+1,,,"期末试卷原始成绩表")):INDIRECT(ADDRESS(($B$1+1),COLUMN(F7)+1,,,"期末试卷原始成绩表")),0.27)))/期末试卷分析表!F7)</f>
        <v>#REF!</v>
      </c>
      <c r="G18" s="12" t="str">
        <f ca="1">IF(G7=" "," ",(AVERAGEIF(INDIRECT(ADDRESS(2,COLUMN(G7)+1,,,"期末试卷原始成绩表")):INDIRECT(ADDRESS(($B$1+1),COLUMN(G7)+1,,,"期末试卷原始成绩表")),"&gt;="&amp;PERCENTILE(INDIRECT(ADDRESS(2,COLUMN(G7)+1,,,"期末试卷原始成绩表")):INDIRECT(ADDRESS(($B$1+1),COLUMN(G7)+1,,,"期末试卷原始成绩表")),0.73))-AVERAGEIF(INDIRECT(ADDRESS(2,COLUMN(G7)+1,,,"期末试卷原始成绩表")):INDIRECT(ADDRESS(($B$1+1),COLUMN(G7)+1,,,"期末试卷原始成绩表")),"&lt;="&amp;PERCENTILE(INDIRECT(ADDRESS(2,COLUMN(G7)+1,,,"期末试卷原始成绩表")):INDIRECT(ADDRESS(($B$1+1),COLUMN(G7)+1,,,"期末试卷原始成绩表")),0.27)))/期末试卷分析表!G7)</f>
        <v> </v>
      </c>
      <c r="H18" s="12" t="str">
        <f ca="1">IF(H7=" "," ",(AVERAGEIF(INDIRECT(ADDRESS(2,COLUMN(H7)+1,,,"期末试卷原始成绩表")):INDIRECT(ADDRESS(($B$1+1),COLUMN(H7)+1,,,"期末试卷原始成绩表")),"&gt;="&amp;PERCENTILE(INDIRECT(ADDRESS(2,COLUMN(H7)+1,,,"期末试卷原始成绩表")):INDIRECT(ADDRESS(($B$1+1),COLUMN(H7)+1,,,"期末试卷原始成绩表")),0.73))-AVERAGEIF(INDIRECT(ADDRESS(2,COLUMN(H7)+1,,,"期末试卷原始成绩表")):INDIRECT(ADDRESS(($B$1+1),COLUMN(H7)+1,,,"期末试卷原始成绩表")),"&lt;="&amp;PERCENTILE(INDIRECT(ADDRESS(2,COLUMN(H7)+1,,,"期末试卷原始成绩表")):INDIRECT(ADDRESS(($B$1+1),COLUMN(H7)+1,,,"期末试卷原始成绩表")),0.27)))/期末试卷分析表!H7)</f>
        <v> </v>
      </c>
      <c r="I18" s="12" t="str">
        <f ca="1">IF(I7=" "," ",(AVERAGEIF(INDIRECT(ADDRESS(2,COLUMN(I7)+1,,,"期末试卷原始成绩表")):INDIRECT(ADDRESS(($B$1+1),COLUMN(I7)+1,,,"期末试卷原始成绩表")),"&gt;="&amp;PERCENTILE(INDIRECT(ADDRESS(2,COLUMN(I7)+1,,,"期末试卷原始成绩表")):INDIRECT(ADDRESS(($B$1+1),COLUMN(I7)+1,,,"期末试卷原始成绩表")),0.73))-AVERAGEIF(INDIRECT(ADDRESS(2,COLUMN(I7)+1,,,"期末试卷原始成绩表")):INDIRECT(ADDRESS(($B$1+1),COLUMN(I7)+1,,,"期末试卷原始成绩表")),"&lt;="&amp;PERCENTILE(INDIRECT(ADDRESS(2,COLUMN(I7)+1,,,"期末试卷原始成绩表")):INDIRECT(ADDRESS(($B$1+1),COLUMN(I7)+1,,,"期末试卷原始成绩表")),0.27)))/期末试卷分析表!I7)</f>
        <v> </v>
      </c>
      <c r="J18" s="12" t="str">
        <f ca="1">IF(J7=" "," ",(AVERAGEIF(INDIRECT(ADDRESS(2,COLUMN(J7)+1,,,"期末试卷原始成绩表")):INDIRECT(ADDRESS(($B$1+1),COLUMN(J7)+1,,,"期末试卷原始成绩表")),"&gt;="&amp;PERCENTILE(INDIRECT(ADDRESS(2,COLUMN(J7)+1,,,"期末试卷原始成绩表")):INDIRECT(ADDRESS(($B$1+1),COLUMN(J7)+1,,,"期末试卷原始成绩表")),0.73))-AVERAGEIF(INDIRECT(ADDRESS(2,COLUMN(J7)+1,,,"期末试卷原始成绩表")):INDIRECT(ADDRESS(($B$1+1),COLUMN(J7)+1,,,"期末试卷原始成绩表")),"&lt;="&amp;PERCENTILE(INDIRECT(ADDRESS(2,COLUMN(J7)+1,,,"期末试卷原始成绩表")):INDIRECT(ADDRESS(($B$1+1),COLUMN(J7)+1,,,"期末试卷原始成绩表")),0.27)))/期末试卷分析表!J7)</f>
        <v> </v>
      </c>
      <c r="K18" s="12" t="str">
        <f ca="1">IF(K7=" "," ",(AVERAGEIF(INDIRECT(ADDRESS(2,COLUMN(K7)+1,,,"期末试卷原始成绩表")):INDIRECT(ADDRESS(($B$1+1),COLUMN(K7)+1,,,"期末试卷原始成绩表")),"&gt;="&amp;PERCENTILE(INDIRECT(ADDRESS(2,COLUMN(K7)+1,,,"期末试卷原始成绩表")):INDIRECT(ADDRESS(($B$1+1),COLUMN(K7)+1,,,"期末试卷原始成绩表")),0.73))-AVERAGEIF(INDIRECT(ADDRESS(2,COLUMN(K7)+1,,,"期末试卷原始成绩表")):INDIRECT(ADDRESS(($B$1+1),COLUMN(K7)+1,,,"期末试卷原始成绩表")),"&lt;="&amp;PERCENTILE(INDIRECT(ADDRESS(2,COLUMN(K7)+1,,,"期末试卷原始成绩表")):INDIRECT(ADDRESS(($B$1+1),COLUMN(K7)+1,,,"期末试卷原始成绩表")),0.27)))/期末试卷分析表!K7)</f>
        <v> </v>
      </c>
      <c r="L18" s="12" t="str">
        <f ca="1">IF(L7=" "," ",(AVERAGEIF(INDIRECT(ADDRESS(2,COLUMN(L7)+1,,,"期末试卷原始成绩表")):INDIRECT(ADDRESS(($B$1+1),COLUMN(L7)+1,,,"期末试卷原始成绩表")),"&gt;="&amp;PERCENTILE(INDIRECT(ADDRESS(2,COLUMN(L7)+1,,,"期末试卷原始成绩表")):INDIRECT(ADDRESS(($B$1+1),COLUMN(L7)+1,,,"期末试卷原始成绩表")),0.73))-AVERAGEIF(INDIRECT(ADDRESS(2,COLUMN(L7)+1,,,"期末试卷原始成绩表")):INDIRECT(ADDRESS(($B$1+1),COLUMN(L7)+1,,,"期末试卷原始成绩表")),"&lt;="&amp;PERCENTILE(INDIRECT(ADDRESS(2,COLUMN(L7)+1,,,"期末试卷原始成绩表")):INDIRECT(ADDRESS(($B$1+1),COLUMN(L7)+1,,,"期末试卷原始成绩表")),0.27)))/期末试卷分析表!L7)</f>
        <v> </v>
      </c>
      <c r="M18" s="12" t="str">
        <f ca="1">IF(M7=" "," ",(AVERAGEIF(INDIRECT(ADDRESS(2,COLUMN(M7)+1,,,"期末试卷原始成绩表")):INDIRECT(ADDRESS(($B$1+1),COLUMN(M7)+1,,,"期末试卷原始成绩表")),"&gt;="&amp;PERCENTILE(INDIRECT(ADDRESS(2,COLUMN(M7)+1,,,"期末试卷原始成绩表")):INDIRECT(ADDRESS(($B$1+1),COLUMN(M7)+1,,,"期末试卷原始成绩表")),0.73))-AVERAGEIF(INDIRECT(ADDRESS(2,COLUMN(M7)+1,,,"期末试卷原始成绩表")):INDIRECT(ADDRESS(($B$1+1),COLUMN(M7)+1,,,"期末试卷原始成绩表")),"&lt;="&amp;PERCENTILE(INDIRECT(ADDRESS(2,COLUMN(M7)+1,,,"期末试卷原始成绩表")):INDIRECT(ADDRESS(($B$1+1),COLUMN(M7)+1,,,"期末试卷原始成绩表")),0.27)))/期末试卷分析表!M7)</f>
        <v> </v>
      </c>
      <c r="N18" s="12" t="str">
        <f ca="1">IF(N7=" "," ",(AVERAGEIF(INDIRECT(ADDRESS(2,COLUMN(N7)+1,,,"期末试卷原始成绩表")):INDIRECT(ADDRESS(($B$1+1),COLUMN(N7)+1,,,"期末试卷原始成绩表")),"&gt;="&amp;PERCENTILE(INDIRECT(ADDRESS(2,COLUMN(N7)+1,,,"期末试卷原始成绩表")):INDIRECT(ADDRESS(($B$1+1),COLUMN(N7)+1,,,"期末试卷原始成绩表")),0.73))-AVERAGEIF(INDIRECT(ADDRESS(2,COLUMN(N7)+1,,,"期末试卷原始成绩表")):INDIRECT(ADDRESS(($B$1+1),COLUMN(N7)+1,,,"期末试卷原始成绩表")),"&lt;="&amp;PERCENTILE(INDIRECT(ADDRESS(2,COLUMN(N7)+1,,,"期末试卷原始成绩表")):INDIRECT(ADDRESS(($B$1+1),COLUMN(N7)+1,,,"期末试卷原始成绩表")),0.27)))/期末试卷分析表!N7)</f>
        <v> </v>
      </c>
      <c r="O18" s="12" t="str">
        <f ca="1">IF(O7=" "," ",(AVERAGEIF(INDIRECT(ADDRESS(2,COLUMN(O7)+1,,,"期末试卷原始成绩表")):INDIRECT(ADDRESS(($B$1+1),COLUMN(O7)+1,,,"期末试卷原始成绩表")),"&gt;="&amp;PERCENTILE(INDIRECT(ADDRESS(2,COLUMN(O7)+1,,,"期末试卷原始成绩表")):INDIRECT(ADDRESS(($B$1+1),COLUMN(O7)+1,,,"期末试卷原始成绩表")),0.73))-AVERAGEIF(INDIRECT(ADDRESS(2,COLUMN(O7)+1,,,"期末试卷原始成绩表")):INDIRECT(ADDRESS(($B$1+1),COLUMN(O7)+1,,,"期末试卷原始成绩表")),"&lt;="&amp;PERCENTILE(INDIRECT(ADDRESS(2,COLUMN(O7)+1,,,"期末试卷原始成绩表")):INDIRECT(ADDRESS(($B$1+1),COLUMN(O7)+1,,,"期末试卷原始成绩表")),0.27)))/期末试卷分析表!O7)</f>
        <v> </v>
      </c>
      <c r="P18" s="12" t="str">
        <f ca="1">IF(P7=" "," ",(AVERAGEIF(INDIRECT(ADDRESS(2,COLUMN(P7)+1,,,"期末试卷原始成绩表")):INDIRECT(ADDRESS(($B$1+1),COLUMN(P7)+1,,,"期末试卷原始成绩表")),"&gt;="&amp;PERCENTILE(INDIRECT(ADDRESS(2,COLUMN(P7)+1,,,"期末试卷原始成绩表")):INDIRECT(ADDRESS(($B$1+1),COLUMN(P7)+1,,,"期末试卷原始成绩表")),0.73))-AVERAGEIF(INDIRECT(ADDRESS(2,COLUMN(P7)+1,,,"期末试卷原始成绩表")):INDIRECT(ADDRESS(($B$1+1),COLUMN(P7)+1,,,"期末试卷原始成绩表")),"&lt;="&amp;PERCENTILE(INDIRECT(ADDRESS(2,COLUMN(P7)+1,,,"期末试卷原始成绩表")):INDIRECT(ADDRESS(($B$1+1),COLUMN(P7)+1,,,"期末试卷原始成绩表")),0.27)))/期末试卷分析表!P7)</f>
        <v> </v>
      </c>
      <c r="Q18" s="12" t="str">
        <f ca="1">IF(Q7=" "," ",(AVERAGEIF(INDIRECT(ADDRESS(2,COLUMN(Q7)+1,,,"期末试卷原始成绩表")):INDIRECT(ADDRESS(($B$1+1),COLUMN(Q7)+1,,,"期末试卷原始成绩表")),"&gt;="&amp;PERCENTILE(INDIRECT(ADDRESS(2,COLUMN(Q7)+1,,,"期末试卷原始成绩表")):INDIRECT(ADDRESS(($B$1+1),COLUMN(Q7)+1,,,"期末试卷原始成绩表")),0.73))-AVERAGEIF(INDIRECT(ADDRESS(2,COLUMN(Q7)+1,,,"期末试卷原始成绩表")):INDIRECT(ADDRESS(($B$1+1),COLUMN(Q7)+1,,,"期末试卷原始成绩表")),"&lt;="&amp;PERCENTILE(INDIRECT(ADDRESS(2,COLUMN(Q7)+1,,,"期末试卷原始成绩表")):INDIRECT(ADDRESS(($B$1+1),COLUMN(Q7)+1,,,"期末试卷原始成绩表")),0.27)))/期末试卷分析表!Q7)</f>
        <v> </v>
      </c>
      <c r="R18" s="12" t="str">
        <f ca="1">IF(R7=" "," ",(AVERAGEIF(INDIRECT(ADDRESS(2,COLUMN(R7)+1,,,"期末试卷原始成绩表")):INDIRECT(ADDRESS(($B$1+1),COLUMN(R7)+1,,,"期末试卷原始成绩表")),"&gt;="&amp;PERCENTILE(INDIRECT(ADDRESS(2,COLUMN(R7)+1,,,"期末试卷原始成绩表")):INDIRECT(ADDRESS(($B$1+1),COLUMN(R7)+1,,,"期末试卷原始成绩表")),0.73))-AVERAGEIF(INDIRECT(ADDRESS(2,COLUMN(R7)+1,,,"期末试卷原始成绩表")):INDIRECT(ADDRESS(($B$1+1),COLUMN(R7)+1,,,"期末试卷原始成绩表")),"&lt;="&amp;PERCENTILE(INDIRECT(ADDRESS(2,COLUMN(R7)+1,,,"期末试卷原始成绩表")):INDIRECT(ADDRESS(($B$1+1),COLUMN(R7)+1,,,"期末试卷原始成绩表")),0.27)))/期末试卷分析表!R7)</f>
        <v> </v>
      </c>
      <c r="S18" s="12" t="str">
        <f ca="1">IF(S7=" "," ",(AVERAGEIF(INDIRECT(ADDRESS(2,COLUMN(S7)+1,,,"期末试卷原始成绩表")):INDIRECT(ADDRESS(($B$1+1),COLUMN(S7)+1,,,"期末试卷原始成绩表")),"&gt;="&amp;PERCENTILE(INDIRECT(ADDRESS(2,COLUMN(S7)+1,,,"期末试卷原始成绩表")):INDIRECT(ADDRESS(($B$1+1),COLUMN(S7)+1,,,"期末试卷原始成绩表")),0.73))-AVERAGEIF(INDIRECT(ADDRESS(2,COLUMN(S7)+1,,,"期末试卷原始成绩表")):INDIRECT(ADDRESS(($B$1+1),COLUMN(S7)+1,,,"期末试卷原始成绩表")),"&lt;="&amp;PERCENTILE(INDIRECT(ADDRESS(2,COLUMN(S7)+1,,,"期末试卷原始成绩表")):INDIRECT(ADDRESS(($B$1+1),COLUMN(S7)+1,,,"期末试卷原始成绩表")),0.27)))/期末试卷分析表!S7)</f>
        <v> </v>
      </c>
      <c r="T18" s="12" t="str">
        <f ca="1">IF(T7=" "," ",(AVERAGEIF(INDIRECT(ADDRESS(2,COLUMN(T7)+1,,,"期末试卷原始成绩表")):INDIRECT(ADDRESS(($B$1+1),COLUMN(T7)+1,,,"期末试卷原始成绩表")),"&gt;="&amp;PERCENTILE(INDIRECT(ADDRESS(2,COLUMN(T7)+1,,,"期末试卷原始成绩表")):INDIRECT(ADDRESS(($B$1+1),COLUMN(T7)+1,,,"期末试卷原始成绩表")),0.73))-AVERAGEIF(INDIRECT(ADDRESS(2,COLUMN(T7)+1,,,"期末试卷原始成绩表")):INDIRECT(ADDRESS(($B$1+1),COLUMN(T7)+1,,,"期末试卷原始成绩表")),"&lt;="&amp;PERCENTILE(INDIRECT(ADDRESS(2,COLUMN(T7)+1,,,"期末试卷原始成绩表")):INDIRECT(ADDRESS(($B$1+1),COLUMN(T7)+1,,,"期末试卷原始成绩表")),0.27)))/期末试卷分析表!T7)</f>
        <v> </v>
      </c>
      <c r="U18" s="12" t="str">
        <f ca="1">IF(U7=" "," ",(AVERAGEIF(INDIRECT(ADDRESS(2,COLUMN(U7)+1,,,"期末试卷原始成绩表")):INDIRECT(ADDRESS(($B$1+1),COLUMN(U7)+1,,,"期末试卷原始成绩表")),"&gt;="&amp;PERCENTILE(INDIRECT(ADDRESS(2,COLUMN(U7)+1,,,"期末试卷原始成绩表")):INDIRECT(ADDRESS(($B$1+1),COLUMN(U7)+1,,,"期末试卷原始成绩表")),0.73))-AVERAGEIF(INDIRECT(ADDRESS(2,COLUMN(U7)+1,,,"期末试卷原始成绩表")):INDIRECT(ADDRESS(($B$1+1),COLUMN(U7)+1,,,"期末试卷原始成绩表")),"&lt;="&amp;PERCENTILE(INDIRECT(ADDRESS(2,COLUMN(U7)+1,,,"期末试卷原始成绩表")):INDIRECT(ADDRESS(($B$1+1),COLUMN(U7)+1,,,"期末试卷原始成绩表")),0.27)))/期末试卷分析表!U7)</f>
        <v> </v>
      </c>
      <c r="V18" s="12" t="str">
        <f ca="1">IF(V7=" "," ",(AVERAGEIF(INDIRECT(ADDRESS(2,COLUMN(V7)+1,,,"期末试卷原始成绩表")):INDIRECT(ADDRESS(($B$1+1),COLUMN(V7)+1,,,"期末试卷原始成绩表")),"&gt;="&amp;PERCENTILE(INDIRECT(ADDRESS(2,COLUMN(V7)+1,,,"期末试卷原始成绩表")):INDIRECT(ADDRESS(($B$1+1),COLUMN(V7)+1,,,"期末试卷原始成绩表")),0.73))-AVERAGEIF(INDIRECT(ADDRESS(2,COLUMN(V7)+1,,,"期末试卷原始成绩表")):INDIRECT(ADDRESS(($B$1+1),COLUMN(V7)+1,,,"期末试卷原始成绩表")),"&lt;="&amp;PERCENTILE(INDIRECT(ADDRESS(2,COLUMN(V7)+1,,,"期末试卷原始成绩表")):INDIRECT(ADDRESS(($B$1+1),COLUMN(V7)+1,,,"期末试卷原始成绩表")),0.27)))/期末试卷分析表!V7)</f>
        <v> </v>
      </c>
      <c r="W18" s="12" t="str">
        <f ca="1">IF(W7=" "," ",(AVERAGEIF(INDIRECT(ADDRESS(2,COLUMN(W7)+1,,,"期末试卷原始成绩表")):INDIRECT(ADDRESS(($B$1+1),COLUMN(W7)+1,,,"期末试卷原始成绩表")),"&gt;="&amp;PERCENTILE(INDIRECT(ADDRESS(2,COLUMN(W7)+1,,,"期末试卷原始成绩表")):INDIRECT(ADDRESS(($B$1+1),COLUMN(W7)+1,,,"期末试卷原始成绩表")),0.73))-AVERAGEIF(INDIRECT(ADDRESS(2,COLUMN(W7)+1,,,"期末试卷原始成绩表")):INDIRECT(ADDRESS(($B$1+1),COLUMN(W7)+1,,,"期末试卷原始成绩表")),"&lt;="&amp;PERCENTILE(INDIRECT(ADDRESS(2,COLUMN(W7)+1,,,"期末试卷原始成绩表")):INDIRECT(ADDRESS(($B$1+1),COLUMN(W7)+1,,,"期末试卷原始成绩表")),0.27)))/期末试卷分析表!W7)</f>
        <v> </v>
      </c>
      <c r="X18" s="12" t="str">
        <f ca="1">IF(X7=" "," ",(AVERAGEIF(INDIRECT(ADDRESS(2,COLUMN(X7)+1,,,"期末试卷原始成绩表")):INDIRECT(ADDRESS(($B$1+1),COLUMN(X7)+1,,,"期末试卷原始成绩表")),"&gt;="&amp;PERCENTILE(INDIRECT(ADDRESS(2,COLUMN(X7)+1,,,"期末试卷原始成绩表")):INDIRECT(ADDRESS(($B$1+1),COLUMN(X7)+1,,,"期末试卷原始成绩表")),0.73))-AVERAGEIF(INDIRECT(ADDRESS(2,COLUMN(X7)+1,,,"期末试卷原始成绩表")):INDIRECT(ADDRESS(($B$1+1),COLUMN(X7)+1,,,"期末试卷原始成绩表")),"&lt;="&amp;PERCENTILE(INDIRECT(ADDRESS(2,COLUMN(X7)+1,,,"期末试卷原始成绩表")):INDIRECT(ADDRESS(($B$1+1),COLUMN(X7)+1,,,"期末试卷原始成绩表")),0.27)))/期末试卷分析表!X7)</f>
        <v> </v>
      </c>
      <c r="Y18" s="12" t="str">
        <f ca="1">IF(Y7=" "," ",(AVERAGEIF(INDIRECT(ADDRESS(2,COLUMN(Y7)+1,,,"期末试卷原始成绩表")):INDIRECT(ADDRESS(($B$1+1),COLUMN(Y7)+1,,,"期末试卷原始成绩表")),"&gt;="&amp;PERCENTILE(INDIRECT(ADDRESS(2,COLUMN(Y7)+1,,,"期末试卷原始成绩表")):INDIRECT(ADDRESS(($B$1+1),COLUMN(Y7)+1,,,"期末试卷原始成绩表")),0.73))-AVERAGEIF(INDIRECT(ADDRESS(2,COLUMN(Y7)+1,,,"期末试卷原始成绩表")):INDIRECT(ADDRESS(($B$1+1),COLUMN(Y7)+1,,,"期末试卷原始成绩表")),"&lt;="&amp;PERCENTILE(INDIRECT(ADDRESS(2,COLUMN(Y7)+1,,,"期末试卷原始成绩表")):INDIRECT(ADDRESS(($B$1+1),COLUMN(Y7)+1,,,"期末试卷原始成绩表")),0.27)))/期末试卷分析表!Y7)</f>
        <v> </v>
      </c>
      <c r="Z18" s="12" t="str">
        <f ca="1">IF(Z7=" "," ",(AVERAGEIF(INDIRECT(ADDRESS(2,COLUMN(Z7)+1,,,"期末试卷原始成绩表")):INDIRECT(ADDRESS(($B$1+1),COLUMN(Z7)+1,,,"期末试卷原始成绩表")),"&gt;="&amp;PERCENTILE(INDIRECT(ADDRESS(2,COLUMN(Z7)+1,,,"期末试卷原始成绩表")):INDIRECT(ADDRESS(($B$1+1),COLUMN(Z7)+1,,,"期末试卷原始成绩表")),0.73))-AVERAGEIF(INDIRECT(ADDRESS(2,COLUMN(Z7)+1,,,"期末试卷原始成绩表")):INDIRECT(ADDRESS(($B$1+1),COLUMN(Z7)+1,,,"期末试卷原始成绩表")),"&lt;="&amp;PERCENTILE(INDIRECT(ADDRESS(2,COLUMN(Z7)+1,,,"期末试卷原始成绩表")):INDIRECT(ADDRESS(($B$1+1),COLUMN(Z7)+1,,,"期末试卷原始成绩表")),0.27)))/期末试卷分析表!Z7)</f>
        <v> </v>
      </c>
      <c r="AA18" s="12" t="str">
        <f ca="1">IF(AA7=" "," ",(AVERAGEIF(INDIRECT(ADDRESS(2,COLUMN(AA7)+1,,,"期末试卷原始成绩表")):INDIRECT(ADDRESS(($B$1+1),COLUMN(AA7)+1,,,"期末试卷原始成绩表")),"&gt;="&amp;PERCENTILE(INDIRECT(ADDRESS(2,COLUMN(AA7)+1,,,"期末试卷原始成绩表")):INDIRECT(ADDRESS(($B$1+1),COLUMN(AA7)+1,,,"期末试卷原始成绩表")),0.73))-AVERAGEIF(INDIRECT(ADDRESS(2,COLUMN(AA7)+1,,,"期末试卷原始成绩表")):INDIRECT(ADDRESS(($B$1+1),COLUMN(AA7)+1,,,"期末试卷原始成绩表")),"&lt;="&amp;PERCENTILE(INDIRECT(ADDRESS(2,COLUMN(AA7)+1,,,"期末试卷原始成绩表")):INDIRECT(ADDRESS(($B$1+1),COLUMN(AA7)+1,,,"期末试卷原始成绩表")),0.27)))/期末试卷分析表!AA7)</f>
        <v> </v>
      </c>
      <c r="AB18" s="12" t="str">
        <f ca="1">IF(AB7=" "," ",(AVERAGEIF(INDIRECT(ADDRESS(2,COLUMN(AB7)+1,,,"期末试卷原始成绩表")):INDIRECT(ADDRESS(($B$1+1),COLUMN(AB7)+1,,,"期末试卷原始成绩表")),"&gt;="&amp;PERCENTILE(INDIRECT(ADDRESS(2,COLUMN(AB7)+1,,,"期末试卷原始成绩表")):INDIRECT(ADDRESS(($B$1+1),COLUMN(AB7)+1,,,"期末试卷原始成绩表")),0.73))-AVERAGEIF(INDIRECT(ADDRESS(2,COLUMN(AB7)+1,,,"期末试卷原始成绩表")):INDIRECT(ADDRESS(($B$1+1),COLUMN(AB7)+1,,,"期末试卷原始成绩表")),"&lt;="&amp;PERCENTILE(INDIRECT(ADDRESS(2,COLUMN(AB7)+1,,,"期末试卷原始成绩表")):INDIRECT(ADDRESS(($B$1+1),COLUMN(AB7)+1,,,"期末试卷原始成绩表")),0.27)))/期末试卷分析表!AB7)</f>
        <v> </v>
      </c>
      <c r="AC18" s="12" t="str">
        <f ca="1">IF(AC7=" "," ",(AVERAGEIF(INDIRECT(ADDRESS(2,COLUMN(AC7)+1,,,"期末试卷原始成绩表")):INDIRECT(ADDRESS(($B$1+1),COLUMN(AC7)+1,,,"期末试卷原始成绩表")),"&gt;="&amp;PERCENTILE(INDIRECT(ADDRESS(2,COLUMN(AC7)+1,,,"期末试卷原始成绩表")):INDIRECT(ADDRESS(($B$1+1),COLUMN(AC7)+1,,,"期末试卷原始成绩表")),0.73))-AVERAGEIF(INDIRECT(ADDRESS(2,COLUMN(AC7)+1,,,"期末试卷原始成绩表")):INDIRECT(ADDRESS(($B$1+1),COLUMN(AC7)+1,,,"期末试卷原始成绩表")),"&lt;="&amp;PERCENTILE(INDIRECT(ADDRESS(2,COLUMN(AC7)+1,,,"期末试卷原始成绩表")):INDIRECT(ADDRESS(($B$1+1),COLUMN(AC7)+1,,,"期末试卷原始成绩表")),0.27)))/期末试卷分析表!AC7)</f>
        <v> </v>
      </c>
      <c r="AD18" s="12" t="str">
        <f ca="1">IF(AD7=" "," ",(AVERAGEIF(INDIRECT(ADDRESS(2,COLUMN(AD7)+1,,,"期末试卷原始成绩表")):INDIRECT(ADDRESS(($B$1+1),COLUMN(AD7)+1,,,"期末试卷原始成绩表")),"&gt;="&amp;PERCENTILE(INDIRECT(ADDRESS(2,COLUMN(AD7)+1,,,"期末试卷原始成绩表")):INDIRECT(ADDRESS(($B$1+1),COLUMN(AD7)+1,,,"期末试卷原始成绩表")),0.73))-AVERAGEIF(INDIRECT(ADDRESS(2,COLUMN(AD7)+1,,,"期末试卷原始成绩表")):INDIRECT(ADDRESS(($B$1+1),COLUMN(AD7)+1,,,"期末试卷原始成绩表")),"&lt;="&amp;PERCENTILE(INDIRECT(ADDRESS(2,COLUMN(AD7)+1,,,"期末试卷原始成绩表")):INDIRECT(ADDRESS(($B$1+1),COLUMN(AD7)+1,,,"期末试卷原始成绩表")),0.27)))/期末试卷分析表!AD7)</f>
        <v> </v>
      </c>
      <c r="AE18" s="12" t="str">
        <f ca="1">IF(AE7=" "," ",(AVERAGEIF(INDIRECT(ADDRESS(2,COLUMN(AE7)+1,,,"期末试卷原始成绩表")):INDIRECT(ADDRESS(($B$1+1),COLUMN(AE7)+1,,,"期末试卷原始成绩表")),"&gt;="&amp;PERCENTILE(INDIRECT(ADDRESS(2,COLUMN(AE7)+1,,,"期末试卷原始成绩表")):INDIRECT(ADDRESS(($B$1+1),COLUMN(AE7)+1,,,"期末试卷原始成绩表")),0.73))-AVERAGEIF(INDIRECT(ADDRESS(2,COLUMN(AE7)+1,,,"期末试卷原始成绩表")):INDIRECT(ADDRESS(($B$1+1),COLUMN(AE7)+1,,,"期末试卷原始成绩表")),"&lt;="&amp;PERCENTILE(INDIRECT(ADDRESS(2,COLUMN(AE7)+1,,,"期末试卷原始成绩表")):INDIRECT(ADDRESS(($B$1+1),COLUMN(AE7)+1,,,"期末试卷原始成绩表")),0.27)))/期末试卷分析表!AE7)</f>
        <v> </v>
      </c>
      <c r="AF18" s="12" t="str">
        <f ca="1">IF(AF7=" "," ",(AVERAGEIF(INDIRECT(ADDRESS(2,COLUMN(AF7)+1,,,"期末试卷原始成绩表")):INDIRECT(ADDRESS(($B$1+1),COLUMN(AF7)+1,,,"期末试卷原始成绩表")),"&gt;="&amp;PERCENTILE(INDIRECT(ADDRESS(2,COLUMN(AF7)+1,,,"期末试卷原始成绩表")):INDIRECT(ADDRESS(($B$1+1),COLUMN(AF7)+1,,,"期末试卷原始成绩表")),0.73))-AVERAGEIF(INDIRECT(ADDRESS(2,COLUMN(AF7)+1,,,"期末试卷原始成绩表")):INDIRECT(ADDRESS(($B$1+1),COLUMN(AF7)+1,,,"期末试卷原始成绩表")),"&lt;="&amp;PERCENTILE(INDIRECT(ADDRESS(2,COLUMN(AF7)+1,,,"期末试卷原始成绩表")):INDIRECT(ADDRESS(($B$1+1),COLUMN(AF7)+1,,,"期末试卷原始成绩表")),0.27)))/期末试卷分析表!AF7)</f>
        <v> </v>
      </c>
      <c r="AG18" s="12" t="str">
        <f ca="1">IF(AG7=" "," ",(AVERAGEIF(INDIRECT(ADDRESS(2,COLUMN(AG7)+1,,,"期末试卷原始成绩表")):INDIRECT(ADDRESS(($B$1+1),COLUMN(AG7)+1,,,"期末试卷原始成绩表")),"&gt;="&amp;PERCENTILE(INDIRECT(ADDRESS(2,COLUMN(AG7)+1,,,"期末试卷原始成绩表")):INDIRECT(ADDRESS(($B$1+1),COLUMN(AG7)+1,,,"期末试卷原始成绩表")),0.73))-AVERAGEIF(INDIRECT(ADDRESS(2,COLUMN(AG7)+1,,,"期末试卷原始成绩表")):INDIRECT(ADDRESS(($B$1+1),COLUMN(AG7)+1,,,"期末试卷原始成绩表")),"&lt;="&amp;PERCENTILE(INDIRECT(ADDRESS(2,COLUMN(AG7)+1,,,"期末试卷原始成绩表")):INDIRECT(ADDRESS(($B$1+1),COLUMN(AG7)+1,,,"期末试卷原始成绩表")),0.27)))/期末试卷分析表!AG7)</f>
        <v> </v>
      </c>
      <c r="AH18" s="12" t="str">
        <f ca="1">IF(AH7=" "," ",(AVERAGEIF(INDIRECT(ADDRESS(2,COLUMN(AH7)+1,,,"期末试卷原始成绩表")):INDIRECT(ADDRESS(($B$1+1),COLUMN(AH7)+1,,,"期末试卷原始成绩表")),"&gt;="&amp;PERCENTILE(INDIRECT(ADDRESS(2,COLUMN(AH7)+1,,,"期末试卷原始成绩表")):INDIRECT(ADDRESS(($B$1+1),COLUMN(AH7)+1,,,"期末试卷原始成绩表")),0.73))-AVERAGEIF(INDIRECT(ADDRESS(2,COLUMN(AH7)+1,,,"期末试卷原始成绩表")):INDIRECT(ADDRESS(($B$1+1),COLUMN(AH7)+1,,,"期末试卷原始成绩表")),"&lt;="&amp;PERCENTILE(INDIRECT(ADDRESS(2,COLUMN(AH7)+1,,,"期末试卷原始成绩表")):INDIRECT(ADDRESS(($B$1+1),COLUMN(AH7)+1,,,"期末试卷原始成绩表")),0.27)))/期末试卷分析表!AH7)</f>
        <v> </v>
      </c>
      <c r="AI18" s="12" t="str">
        <f ca="1">IF(AI7=" "," ",(AVERAGEIF(INDIRECT(ADDRESS(2,COLUMN(AI7)+1,,,"期末试卷原始成绩表")):INDIRECT(ADDRESS(($B$1+1),COLUMN(AI7)+1,,,"期末试卷原始成绩表")),"&gt;="&amp;PERCENTILE(INDIRECT(ADDRESS(2,COLUMN(AI7)+1,,,"期末试卷原始成绩表")):INDIRECT(ADDRESS(($B$1+1),COLUMN(AI7)+1,,,"期末试卷原始成绩表")),0.73))-AVERAGEIF(INDIRECT(ADDRESS(2,COLUMN(AI7)+1,,,"期末试卷原始成绩表")):INDIRECT(ADDRESS(($B$1+1),COLUMN(AI7)+1,,,"期末试卷原始成绩表")),"&lt;="&amp;PERCENTILE(INDIRECT(ADDRESS(2,COLUMN(AI7)+1,,,"期末试卷原始成绩表")):INDIRECT(ADDRESS(($B$1+1),COLUMN(AI7)+1,,,"期末试卷原始成绩表")),0.27)))/期末试卷分析表!AI7)</f>
        <v> </v>
      </c>
      <c r="AJ18" s="12" t="str">
        <f ca="1">IF(AJ7=" "," ",(AVERAGEIF(INDIRECT(ADDRESS(2,COLUMN(AJ7)+1,,,"期末试卷原始成绩表")):INDIRECT(ADDRESS(($B$1+1),COLUMN(AJ7)+1,,,"期末试卷原始成绩表")),"&gt;="&amp;PERCENTILE(INDIRECT(ADDRESS(2,COLUMN(AJ7)+1,,,"期末试卷原始成绩表")):INDIRECT(ADDRESS(($B$1+1),COLUMN(AJ7)+1,,,"期末试卷原始成绩表")),0.73))-AVERAGEIF(INDIRECT(ADDRESS(2,COLUMN(AJ7)+1,,,"期末试卷原始成绩表")):INDIRECT(ADDRESS(($B$1+1),COLUMN(AJ7)+1,,,"期末试卷原始成绩表")),"&lt;="&amp;PERCENTILE(INDIRECT(ADDRESS(2,COLUMN(AJ7)+1,,,"期末试卷原始成绩表")):INDIRECT(ADDRESS(($B$1+1),COLUMN(AJ7)+1,,,"期末试卷原始成绩表")),0.27)))/期末试卷分析表!AJ7)</f>
        <v> </v>
      </c>
      <c r="AK18" s="12" t="str">
        <f ca="1">IF(AK7=" "," ",(AVERAGEIF(INDIRECT(ADDRESS(2,COLUMN(AK7)+1,,,"期末试卷原始成绩表")):INDIRECT(ADDRESS(($B$1+1),COLUMN(AK7)+1,,,"期末试卷原始成绩表")),"&gt;="&amp;PERCENTILE(INDIRECT(ADDRESS(2,COLUMN(AK7)+1,,,"期末试卷原始成绩表")):INDIRECT(ADDRESS(($B$1+1),COLUMN(AK7)+1,,,"期末试卷原始成绩表")),0.73))-AVERAGEIF(INDIRECT(ADDRESS(2,COLUMN(AK7)+1,,,"期末试卷原始成绩表")):INDIRECT(ADDRESS(($B$1+1),COLUMN(AK7)+1,,,"期末试卷原始成绩表")),"&lt;="&amp;PERCENTILE(INDIRECT(ADDRESS(2,COLUMN(AK7)+1,,,"期末试卷原始成绩表")):INDIRECT(ADDRESS(($B$1+1),COLUMN(AK7)+1,,,"期末试卷原始成绩表")),0.27)))/期末试卷分析表!AK7)</f>
        <v> </v>
      </c>
      <c r="AL18" s="12" t="str">
        <f ca="1">IF(AL7=" "," ",(AVERAGEIF(INDIRECT(ADDRESS(2,COLUMN(AL7)+1,,,"期末试卷原始成绩表")):INDIRECT(ADDRESS(($B$1+1),COLUMN(AL7)+1,,,"期末试卷原始成绩表")),"&gt;="&amp;PERCENTILE(INDIRECT(ADDRESS(2,COLUMN(AL7)+1,,,"期末试卷原始成绩表")):INDIRECT(ADDRESS(($B$1+1),COLUMN(AL7)+1,,,"期末试卷原始成绩表")),0.73))-AVERAGEIF(INDIRECT(ADDRESS(2,COLUMN(AL7)+1,,,"期末试卷原始成绩表")):INDIRECT(ADDRESS(($B$1+1),COLUMN(AL7)+1,,,"期末试卷原始成绩表")),"&lt;="&amp;PERCENTILE(INDIRECT(ADDRESS(2,COLUMN(AL7)+1,,,"期末试卷原始成绩表")):INDIRECT(ADDRESS(($B$1+1),COLUMN(AL7)+1,,,"期末试卷原始成绩表")),0.27)))/期末试卷分析表!AL7)</f>
        <v> </v>
      </c>
      <c r="AM18" s="12" t="str">
        <f ca="1">IF(AM7=" "," ",(AVERAGEIF(INDIRECT(ADDRESS(2,COLUMN(AM7)+1,,,"期末试卷原始成绩表")):INDIRECT(ADDRESS(($B$1+1),COLUMN(AM7)+1,,,"期末试卷原始成绩表")),"&gt;="&amp;PERCENTILE(INDIRECT(ADDRESS(2,COLUMN(AM7)+1,,,"期末试卷原始成绩表")):INDIRECT(ADDRESS(($B$1+1),COLUMN(AM7)+1,,,"期末试卷原始成绩表")),0.73))-AVERAGEIF(INDIRECT(ADDRESS(2,COLUMN(AM7)+1,,,"期末试卷原始成绩表")):INDIRECT(ADDRESS(($B$1+1),COLUMN(AM7)+1,,,"期末试卷原始成绩表")),"&lt;="&amp;PERCENTILE(INDIRECT(ADDRESS(2,COLUMN(AM7)+1,,,"期末试卷原始成绩表")):INDIRECT(ADDRESS(($B$1+1),COLUMN(AM7)+1,,,"期末试卷原始成绩表")),0.27)))/期末试卷分析表!AM7)</f>
        <v> </v>
      </c>
      <c r="AN18" s="12" t="str">
        <f ca="1">IF(AN7=" "," ",(AVERAGEIF(INDIRECT(ADDRESS(2,COLUMN(AN7)+1,,,"期末试卷原始成绩表")):INDIRECT(ADDRESS(($B$1+1),COLUMN(AN7)+1,,,"期末试卷原始成绩表")),"&gt;="&amp;PERCENTILE(INDIRECT(ADDRESS(2,COLUMN(AN7)+1,,,"期末试卷原始成绩表")):INDIRECT(ADDRESS(($B$1+1),COLUMN(AN7)+1,,,"期末试卷原始成绩表")),0.73))-AVERAGEIF(INDIRECT(ADDRESS(2,COLUMN(AN7)+1,,,"期末试卷原始成绩表")):INDIRECT(ADDRESS(($B$1+1),COLUMN(AN7)+1,,,"期末试卷原始成绩表")),"&lt;="&amp;PERCENTILE(INDIRECT(ADDRESS(2,COLUMN(AN7)+1,,,"期末试卷原始成绩表")):INDIRECT(ADDRESS(($B$1+1),COLUMN(AN7)+1,,,"期末试卷原始成绩表")),0.27)))/期末试卷分析表!AN7)</f>
        <v> </v>
      </c>
      <c r="AO18" s="12" t="str">
        <f ca="1">IF(AO7=" "," ",(AVERAGEIF(INDIRECT(ADDRESS(2,COLUMN(AO7)+1,,,"期末试卷原始成绩表")):INDIRECT(ADDRESS(($B$1+1),COLUMN(AO7)+1,,,"期末试卷原始成绩表")),"&gt;="&amp;PERCENTILE(INDIRECT(ADDRESS(2,COLUMN(AO7)+1,,,"期末试卷原始成绩表")):INDIRECT(ADDRESS(($B$1+1),COLUMN(AO7)+1,,,"期末试卷原始成绩表")),0.73))-AVERAGEIF(INDIRECT(ADDRESS(2,COLUMN(AO7)+1,,,"期末试卷原始成绩表")):INDIRECT(ADDRESS(($B$1+1),COLUMN(AO7)+1,,,"期末试卷原始成绩表")),"&lt;="&amp;PERCENTILE(INDIRECT(ADDRESS(2,COLUMN(AO7)+1,,,"期末试卷原始成绩表")):INDIRECT(ADDRESS(($B$1+1),COLUMN(AO7)+1,,,"期末试卷原始成绩表")),0.27)))/期末试卷分析表!AO7)</f>
        <v> </v>
      </c>
      <c r="AP18" s="12" t="str">
        <f ca="1">IF(AP7=" "," ",(AVERAGEIF(INDIRECT(ADDRESS(2,COLUMN(AP7)+1,,,"期末试卷原始成绩表")):INDIRECT(ADDRESS(($B$1+1),COLUMN(AP7)+1,,,"期末试卷原始成绩表")),"&gt;="&amp;PERCENTILE(INDIRECT(ADDRESS(2,COLUMN(AP7)+1,,,"期末试卷原始成绩表")):INDIRECT(ADDRESS(($B$1+1),COLUMN(AP7)+1,,,"期末试卷原始成绩表")),0.73))-AVERAGEIF(INDIRECT(ADDRESS(2,COLUMN(AP7)+1,,,"期末试卷原始成绩表")):INDIRECT(ADDRESS(($B$1+1),COLUMN(AP7)+1,,,"期末试卷原始成绩表")),"&lt;="&amp;PERCENTILE(INDIRECT(ADDRESS(2,COLUMN(AP7)+1,,,"期末试卷原始成绩表")):INDIRECT(ADDRESS(($B$1+1),COLUMN(AP7)+1,,,"期末试卷原始成绩表")),0.27)))/期末试卷分析表!AP7)</f>
        <v> </v>
      </c>
      <c r="AQ18" s="12" t="str">
        <f ca="1">IF(AQ7=" "," ",(AVERAGEIF(INDIRECT(ADDRESS(2,COLUMN(AQ7)+1,,,"期末试卷原始成绩表")):INDIRECT(ADDRESS(($B$1+1),COLUMN(AQ7)+1,,,"期末试卷原始成绩表")),"&gt;="&amp;PERCENTILE(INDIRECT(ADDRESS(2,COLUMN(AQ7)+1,,,"期末试卷原始成绩表")):INDIRECT(ADDRESS(($B$1+1),COLUMN(AQ7)+1,,,"期末试卷原始成绩表")),0.73))-AVERAGEIF(INDIRECT(ADDRESS(2,COLUMN(AQ7)+1,,,"期末试卷原始成绩表")):INDIRECT(ADDRESS(($B$1+1),COLUMN(AQ7)+1,,,"期末试卷原始成绩表")),"&lt;="&amp;PERCENTILE(INDIRECT(ADDRESS(2,COLUMN(AQ7)+1,,,"期末试卷原始成绩表")):INDIRECT(ADDRESS(($B$1+1),COLUMN(AQ7)+1,,,"期末试卷原始成绩表")),0.27)))/期末试卷分析表!AQ7)</f>
        <v> </v>
      </c>
      <c r="AR18" s="12" t="str">
        <f ca="1">IF(AR7=" "," ",(AVERAGEIF(INDIRECT(ADDRESS(2,COLUMN(AR7)+1,,,"期末试卷原始成绩表")):INDIRECT(ADDRESS(($B$1+1),COLUMN(AR7)+1,,,"期末试卷原始成绩表")),"&gt;="&amp;PERCENTILE(INDIRECT(ADDRESS(2,COLUMN(AR7)+1,,,"期末试卷原始成绩表")):INDIRECT(ADDRESS(($B$1+1),COLUMN(AR7)+1,,,"期末试卷原始成绩表")),0.73))-AVERAGEIF(INDIRECT(ADDRESS(2,COLUMN(AR7)+1,,,"期末试卷原始成绩表")):INDIRECT(ADDRESS(($B$1+1),COLUMN(AR7)+1,,,"期末试卷原始成绩表")),"&lt;="&amp;PERCENTILE(INDIRECT(ADDRESS(2,COLUMN(AR7)+1,,,"期末试卷原始成绩表")):INDIRECT(ADDRESS(($B$1+1),COLUMN(AR7)+1,,,"期末试卷原始成绩表")),0.27)))/期末试卷分析表!AR7)</f>
        <v> </v>
      </c>
      <c r="AS18" s="12" t="str">
        <f ca="1">IF(AS7=" "," ",(AVERAGEIF(INDIRECT(ADDRESS(2,COLUMN(AS7)+1,,,"期末试卷原始成绩表")):INDIRECT(ADDRESS(($B$1+1),COLUMN(AS7)+1,,,"期末试卷原始成绩表")),"&gt;="&amp;PERCENTILE(INDIRECT(ADDRESS(2,COLUMN(AS7)+1,,,"期末试卷原始成绩表")):INDIRECT(ADDRESS(($B$1+1),COLUMN(AS7)+1,,,"期末试卷原始成绩表")),0.73))-AVERAGEIF(INDIRECT(ADDRESS(2,COLUMN(AS7)+1,,,"期末试卷原始成绩表")):INDIRECT(ADDRESS(($B$1+1),COLUMN(AS7)+1,,,"期末试卷原始成绩表")),"&lt;="&amp;PERCENTILE(INDIRECT(ADDRESS(2,COLUMN(AS7)+1,,,"期末试卷原始成绩表")):INDIRECT(ADDRESS(($B$1+1),COLUMN(AS7)+1,,,"期末试卷原始成绩表")),0.27)))/期末试卷分析表!AS7)</f>
        <v> </v>
      </c>
      <c r="AT18" s="12" t="str">
        <f ca="1">IF(AT7=" "," ",(AVERAGEIF(INDIRECT(ADDRESS(2,COLUMN(AT7)+1,,,"期末试卷原始成绩表")):INDIRECT(ADDRESS(($B$1+1),COLUMN(AT7)+1,,,"期末试卷原始成绩表")),"&gt;="&amp;PERCENTILE(INDIRECT(ADDRESS(2,COLUMN(AT7)+1,,,"期末试卷原始成绩表")):INDIRECT(ADDRESS(($B$1+1),COLUMN(AT7)+1,,,"期末试卷原始成绩表")),0.73))-AVERAGEIF(INDIRECT(ADDRESS(2,COLUMN(AT7)+1,,,"期末试卷原始成绩表")):INDIRECT(ADDRESS(($B$1+1),COLUMN(AT7)+1,,,"期末试卷原始成绩表")),"&lt;="&amp;PERCENTILE(INDIRECT(ADDRESS(2,COLUMN(AT7)+1,,,"期末试卷原始成绩表")):INDIRECT(ADDRESS(($B$1+1),COLUMN(AT7)+1,,,"期末试卷原始成绩表")),0.27)))/期末试卷分析表!AT7)</f>
        <v> </v>
      </c>
      <c r="AU18" s="12" t="str">
        <f ca="1">IF(AU7=" "," ",(AVERAGEIF(INDIRECT(ADDRESS(2,COLUMN(AU7)+1,,,"期末试卷原始成绩表")):INDIRECT(ADDRESS(($B$1+1),COLUMN(AU7)+1,,,"期末试卷原始成绩表")),"&gt;="&amp;PERCENTILE(INDIRECT(ADDRESS(2,COLUMN(AU7)+1,,,"期末试卷原始成绩表")):INDIRECT(ADDRESS(($B$1+1),COLUMN(AU7)+1,,,"期末试卷原始成绩表")),0.73))-AVERAGEIF(INDIRECT(ADDRESS(2,COLUMN(AU7)+1,,,"期末试卷原始成绩表")):INDIRECT(ADDRESS(($B$1+1),COLUMN(AU7)+1,,,"期末试卷原始成绩表")),"&lt;="&amp;PERCENTILE(INDIRECT(ADDRESS(2,COLUMN(AU7)+1,,,"期末试卷原始成绩表")):INDIRECT(ADDRESS(($B$1+1),COLUMN(AU7)+1,,,"期末试卷原始成绩表")),0.27)))/期末试卷分析表!AU7)</f>
        <v> </v>
      </c>
      <c r="AV18" s="12" t="str">
        <f ca="1">IF(AV7=" "," ",(AVERAGEIF(INDIRECT(ADDRESS(2,COLUMN(AV7)+1,,,"期末试卷原始成绩表")):INDIRECT(ADDRESS(($B$1+1),COLUMN(AV7)+1,,,"期末试卷原始成绩表")),"&gt;="&amp;PERCENTILE(INDIRECT(ADDRESS(2,COLUMN(AV7)+1,,,"期末试卷原始成绩表")):INDIRECT(ADDRESS(($B$1+1),COLUMN(AV7)+1,,,"期末试卷原始成绩表")),0.73))-AVERAGEIF(INDIRECT(ADDRESS(2,COLUMN(AV7)+1,,,"期末试卷原始成绩表")):INDIRECT(ADDRESS(($B$1+1),COLUMN(AV7)+1,,,"期末试卷原始成绩表")),"&lt;="&amp;PERCENTILE(INDIRECT(ADDRESS(2,COLUMN(AV7)+1,,,"期末试卷原始成绩表")):INDIRECT(ADDRESS(($B$1+1),COLUMN(AV7)+1,,,"期末试卷原始成绩表")),0.27)))/期末试卷分析表!AV7)</f>
        <v> </v>
      </c>
      <c r="AW18" s="12" t="str">
        <f ca="1">IF(AW7=" "," ",(AVERAGEIF(INDIRECT(ADDRESS(2,COLUMN(AW7)+1,,,"期末试卷原始成绩表")):INDIRECT(ADDRESS(($B$1+1),COLUMN(AW7)+1,,,"期末试卷原始成绩表")),"&gt;="&amp;PERCENTILE(INDIRECT(ADDRESS(2,COLUMN(AW7)+1,,,"期末试卷原始成绩表")):INDIRECT(ADDRESS(($B$1+1),COLUMN(AW7)+1,,,"期末试卷原始成绩表")),0.73))-AVERAGEIF(INDIRECT(ADDRESS(2,COLUMN(AW7)+1,,,"期末试卷原始成绩表")):INDIRECT(ADDRESS(($B$1+1),COLUMN(AW7)+1,,,"期末试卷原始成绩表")),"&lt;="&amp;PERCENTILE(INDIRECT(ADDRESS(2,COLUMN(AW7)+1,,,"期末试卷原始成绩表")):INDIRECT(ADDRESS(($B$1+1),COLUMN(AW7)+1,,,"期末试卷原始成绩表")),0.27)))/期末试卷分析表!AW7)</f>
        <v> </v>
      </c>
      <c r="AX18" s="12" t="str">
        <f ca="1">IF(AX7=" "," ",(AVERAGEIF(INDIRECT(ADDRESS(2,COLUMN(AX7)+1,,,"期末试卷原始成绩表")):INDIRECT(ADDRESS(($B$1+1),COLUMN(AX7)+1,,,"期末试卷原始成绩表")),"&gt;="&amp;PERCENTILE(INDIRECT(ADDRESS(2,COLUMN(AX7)+1,,,"期末试卷原始成绩表")):INDIRECT(ADDRESS(($B$1+1),COLUMN(AX7)+1,,,"期末试卷原始成绩表")),0.73))-AVERAGEIF(INDIRECT(ADDRESS(2,COLUMN(AX7)+1,,,"期末试卷原始成绩表")):INDIRECT(ADDRESS(($B$1+1),COLUMN(AX7)+1,,,"期末试卷原始成绩表")),"&lt;="&amp;PERCENTILE(INDIRECT(ADDRESS(2,COLUMN(AX7)+1,,,"期末试卷原始成绩表")):INDIRECT(ADDRESS(($B$1+1),COLUMN(AX7)+1,,,"期末试卷原始成绩表")),0.27)))/期末试卷分析表!AX7)</f>
        <v> </v>
      </c>
      <c r="AY18" s="12" t="str">
        <f ca="1">IF(AY7=" "," ",(AVERAGEIF(INDIRECT(ADDRESS(2,COLUMN(AY7)+1,,,"期末试卷原始成绩表")):INDIRECT(ADDRESS(($B$1+1),COLUMN(AY7)+1,,,"期末试卷原始成绩表")),"&gt;="&amp;PERCENTILE(INDIRECT(ADDRESS(2,COLUMN(AY7)+1,,,"期末试卷原始成绩表")):INDIRECT(ADDRESS(($B$1+1),COLUMN(AY7)+1,,,"期末试卷原始成绩表")),0.73))-AVERAGEIF(INDIRECT(ADDRESS(2,COLUMN(AY7)+1,,,"期末试卷原始成绩表")):INDIRECT(ADDRESS(($B$1+1),COLUMN(AY7)+1,,,"期末试卷原始成绩表")),"&lt;="&amp;PERCENTILE(INDIRECT(ADDRESS(2,COLUMN(AY7)+1,,,"期末试卷原始成绩表")):INDIRECT(ADDRESS(($B$1+1),COLUMN(AY7)+1,,,"期末试卷原始成绩表")),0.27)))/期末试卷分析表!AY7)</f>
        <v> </v>
      </c>
      <c r="AZ18" s="12" t="str">
        <f ca="1">IF(AZ7=" "," ",(AVERAGEIF(INDIRECT(ADDRESS(2,COLUMN(AZ7)+1,,,"期末试卷原始成绩表")):INDIRECT(ADDRESS(($B$1+1),COLUMN(AZ7)+1,,,"期末试卷原始成绩表")),"&gt;="&amp;PERCENTILE(INDIRECT(ADDRESS(2,COLUMN(AZ7)+1,,,"期末试卷原始成绩表")):INDIRECT(ADDRESS(($B$1+1),COLUMN(AZ7)+1,,,"期末试卷原始成绩表")),0.73))-AVERAGEIF(INDIRECT(ADDRESS(2,COLUMN(AZ7)+1,,,"期末试卷原始成绩表")):INDIRECT(ADDRESS(($B$1+1),COLUMN(AZ7)+1,,,"期末试卷原始成绩表")),"&lt;="&amp;PERCENTILE(INDIRECT(ADDRESS(2,COLUMN(AZ7)+1,,,"期末试卷原始成绩表")):INDIRECT(ADDRESS(($B$1+1),COLUMN(AZ7)+1,,,"期末试卷原始成绩表")),0.27)))/期末试卷分析表!AZ7)</f>
        <v> </v>
      </c>
      <c r="BA18" s="12" t="str">
        <f ca="1">IF(BA7=" "," ",(AVERAGEIF(INDIRECT(ADDRESS(2,COLUMN(BA7)+1,,,"期末试卷原始成绩表")):INDIRECT(ADDRESS(($B$1+1),COLUMN(BA7)+1,,,"期末试卷原始成绩表")),"&gt;="&amp;PERCENTILE(INDIRECT(ADDRESS(2,COLUMN(BA7)+1,,,"期末试卷原始成绩表")):INDIRECT(ADDRESS(($B$1+1),COLUMN(BA7)+1,,,"期末试卷原始成绩表")),0.73))-AVERAGEIF(INDIRECT(ADDRESS(2,COLUMN(BA7)+1,,,"期末试卷原始成绩表")):INDIRECT(ADDRESS(($B$1+1),COLUMN(BA7)+1,,,"期末试卷原始成绩表")),"&lt;="&amp;PERCENTILE(INDIRECT(ADDRESS(2,COLUMN(BA7)+1,,,"期末试卷原始成绩表")):INDIRECT(ADDRESS(($B$1+1),COLUMN(BA7)+1,,,"期末试卷原始成绩表")),0.27)))/期末试卷分析表!BA7)</f>
        <v> </v>
      </c>
      <c r="BB18" s="12" t="str">
        <f ca="1">IF(BB7=" "," ",(AVERAGEIF(INDIRECT(ADDRESS(2,COLUMN(BB7)+1,,,"期末试卷原始成绩表")):INDIRECT(ADDRESS(($B$1+1),COLUMN(BB7)+1,,,"期末试卷原始成绩表")),"&gt;="&amp;PERCENTILE(INDIRECT(ADDRESS(2,COLUMN(BB7)+1,,,"期末试卷原始成绩表")):INDIRECT(ADDRESS(($B$1+1),COLUMN(BB7)+1,,,"期末试卷原始成绩表")),0.73))-AVERAGEIF(INDIRECT(ADDRESS(2,COLUMN(BB7)+1,,,"期末试卷原始成绩表")):INDIRECT(ADDRESS(($B$1+1),COLUMN(BB7)+1,,,"期末试卷原始成绩表")),"&lt;="&amp;PERCENTILE(INDIRECT(ADDRESS(2,COLUMN(BB7)+1,,,"期末试卷原始成绩表")):INDIRECT(ADDRESS(($B$1+1),COLUMN(BB7)+1,,,"期末试卷原始成绩表")),0.27)))/期末试卷分析表!BB7)</f>
        <v> </v>
      </c>
      <c r="BC18" s="12" t="str">
        <f ca="1">IF(BC7=" "," ",(AVERAGEIF(INDIRECT(ADDRESS(2,COLUMN(BC7)+1,,,"期末试卷原始成绩表")):INDIRECT(ADDRESS(($B$1+1),COLUMN(BC7)+1,,,"期末试卷原始成绩表")),"&gt;="&amp;PERCENTILE(INDIRECT(ADDRESS(2,COLUMN(BC7)+1,,,"期末试卷原始成绩表")):INDIRECT(ADDRESS(($B$1+1),COLUMN(BC7)+1,,,"期末试卷原始成绩表")),0.73))-AVERAGEIF(INDIRECT(ADDRESS(2,COLUMN(BC7)+1,,,"期末试卷原始成绩表")):INDIRECT(ADDRESS(($B$1+1),COLUMN(BC7)+1,,,"期末试卷原始成绩表")),"&lt;="&amp;PERCENTILE(INDIRECT(ADDRESS(2,COLUMN(BC7)+1,,,"期末试卷原始成绩表")):INDIRECT(ADDRESS(($B$1+1),COLUMN(BC7)+1,,,"期末试卷原始成绩表")),0.27)))/期末试卷分析表!BC7)</f>
        <v> </v>
      </c>
      <c r="BD18" s="12" t="str">
        <f ca="1">IF(BD7=" "," ",(AVERAGEIF(INDIRECT(ADDRESS(2,COLUMN(BD7)+1,,,"期末试卷原始成绩表")):INDIRECT(ADDRESS(($B$1+1),COLUMN(BD7)+1,,,"期末试卷原始成绩表")),"&gt;="&amp;PERCENTILE(INDIRECT(ADDRESS(2,COLUMN(BD7)+1,,,"期末试卷原始成绩表")):INDIRECT(ADDRESS(($B$1+1),COLUMN(BD7)+1,,,"期末试卷原始成绩表")),0.73))-AVERAGEIF(INDIRECT(ADDRESS(2,COLUMN(BD7)+1,,,"期末试卷原始成绩表")):INDIRECT(ADDRESS(($B$1+1),COLUMN(BD7)+1,,,"期末试卷原始成绩表")),"&lt;="&amp;PERCENTILE(INDIRECT(ADDRESS(2,COLUMN(BD7)+1,,,"期末试卷原始成绩表")):INDIRECT(ADDRESS(($B$1+1),COLUMN(BD7)+1,,,"期末试卷原始成绩表")),0.27)))/期末试卷分析表!BD7)</f>
        <v> </v>
      </c>
      <c r="BE18" s="12" t="str">
        <f ca="1">IF(BE7=" "," ",(AVERAGEIF(INDIRECT(ADDRESS(2,COLUMN(BE7)+1,,,"期末试卷原始成绩表")):INDIRECT(ADDRESS(($B$1+1),COLUMN(BE7)+1,,,"期末试卷原始成绩表")),"&gt;="&amp;PERCENTILE(INDIRECT(ADDRESS(2,COLUMN(BE7)+1,,,"期末试卷原始成绩表")):INDIRECT(ADDRESS(($B$1+1),COLUMN(BE7)+1,,,"期末试卷原始成绩表")),0.73))-AVERAGEIF(INDIRECT(ADDRESS(2,COLUMN(BE7)+1,,,"期末试卷原始成绩表")):INDIRECT(ADDRESS(($B$1+1),COLUMN(BE7)+1,,,"期末试卷原始成绩表")),"&lt;="&amp;PERCENTILE(INDIRECT(ADDRESS(2,COLUMN(BE7)+1,,,"期末试卷原始成绩表")):INDIRECT(ADDRESS(($B$1+1),COLUMN(BE7)+1,,,"期末试卷原始成绩表")),0.27)))/期末试卷分析表!BE7)</f>
        <v> </v>
      </c>
      <c r="BF18" s="12" t="str">
        <f ca="1">IF(BF7=" "," ",(AVERAGEIF(INDIRECT(ADDRESS(2,COLUMN(BF7)+1,,,"期末试卷原始成绩表")):INDIRECT(ADDRESS(($B$1+1),COLUMN(BF7)+1,,,"期末试卷原始成绩表")),"&gt;="&amp;PERCENTILE(INDIRECT(ADDRESS(2,COLUMN(BF7)+1,,,"期末试卷原始成绩表")):INDIRECT(ADDRESS(($B$1+1),COLUMN(BF7)+1,,,"期末试卷原始成绩表")),0.73))-AVERAGEIF(INDIRECT(ADDRESS(2,COLUMN(BF7)+1,,,"期末试卷原始成绩表")):INDIRECT(ADDRESS(($B$1+1),COLUMN(BF7)+1,,,"期末试卷原始成绩表")),"&lt;="&amp;PERCENTILE(INDIRECT(ADDRESS(2,COLUMN(BF7)+1,,,"期末试卷原始成绩表")):INDIRECT(ADDRESS(($B$1+1),COLUMN(BF7)+1,,,"期末试卷原始成绩表")),0.27)))/期末试卷分析表!BF7)</f>
        <v> </v>
      </c>
      <c r="BG18" s="12" t="str">
        <f ca="1">IF(BG7=" "," ",(AVERAGEIF(INDIRECT(ADDRESS(2,COLUMN(BG7)+1,,,"期末试卷原始成绩表")):INDIRECT(ADDRESS(($B$1+1),COLUMN(BG7)+1,,,"期末试卷原始成绩表")),"&gt;="&amp;PERCENTILE(INDIRECT(ADDRESS(2,COLUMN(BG7)+1,,,"期末试卷原始成绩表")):INDIRECT(ADDRESS(($B$1+1),COLUMN(BG7)+1,,,"期末试卷原始成绩表")),0.73))-AVERAGEIF(INDIRECT(ADDRESS(2,COLUMN(BG7)+1,,,"期末试卷原始成绩表")):INDIRECT(ADDRESS(($B$1+1),COLUMN(BG7)+1,,,"期末试卷原始成绩表")),"&lt;="&amp;PERCENTILE(INDIRECT(ADDRESS(2,COLUMN(BG7)+1,,,"期末试卷原始成绩表")):INDIRECT(ADDRESS(($B$1+1),COLUMN(BG7)+1,,,"期末试卷原始成绩表")),0.27)))/期末试卷分析表!BG7)</f>
        <v> </v>
      </c>
      <c r="BH18" s="12" t="str">
        <f ca="1">IF(BH7=" "," ",(AVERAGEIF(INDIRECT(ADDRESS(2,COLUMN(BH7)+1,,,"期末试卷原始成绩表")):INDIRECT(ADDRESS(($B$1+1),COLUMN(BH7)+1,,,"期末试卷原始成绩表")),"&gt;="&amp;PERCENTILE(INDIRECT(ADDRESS(2,COLUMN(BH7)+1,,,"期末试卷原始成绩表")):INDIRECT(ADDRESS(($B$1+1),COLUMN(BH7)+1,,,"期末试卷原始成绩表")),0.73))-AVERAGEIF(INDIRECT(ADDRESS(2,COLUMN(BH7)+1,,,"期末试卷原始成绩表")):INDIRECT(ADDRESS(($B$1+1),COLUMN(BH7)+1,,,"期末试卷原始成绩表")),"&lt;="&amp;PERCENTILE(INDIRECT(ADDRESS(2,COLUMN(BH7)+1,,,"期末试卷原始成绩表")):INDIRECT(ADDRESS(($B$1+1),COLUMN(BH7)+1,,,"期末试卷原始成绩表")),0.27)))/期末试卷分析表!BH7)</f>
        <v> </v>
      </c>
      <c r="BI18" s="12" t="str">
        <f ca="1">IF(BI7=" "," ",(AVERAGEIF(INDIRECT(ADDRESS(2,COLUMN(BI7)+1,,,"期末试卷原始成绩表")):INDIRECT(ADDRESS(($B$1+1),COLUMN(BI7)+1,,,"期末试卷原始成绩表")),"&gt;="&amp;PERCENTILE(INDIRECT(ADDRESS(2,COLUMN(BI7)+1,,,"期末试卷原始成绩表")):INDIRECT(ADDRESS(($B$1+1),COLUMN(BI7)+1,,,"期末试卷原始成绩表")),0.73))-AVERAGEIF(INDIRECT(ADDRESS(2,COLUMN(BI7)+1,,,"期末试卷原始成绩表")):INDIRECT(ADDRESS(($B$1+1),COLUMN(BI7)+1,,,"期末试卷原始成绩表")),"&lt;="&amp;PERCENTILE(INDIRECT(ADDRESS(2,COLUMN(BI7)+1,,,"期末试卷原始成绩表")):INDIRECT(ADDRESS(($B$1+1),COLUMN(BI7)+1,,,"期末试卷原始成绩表")),0.27)))/期末试卷分析表!BI7)</f>
        <v> </v>
      </c>
      <c r="BJ18" s="12" t="str">
        <f ca="1">IF(BJ7=" "," ",(AVERAGEIF(INDIRECT(ADDRESS(2,COLUMN(BJ7)+1,,,"期末试卷原始成绩表")):INDIRECT(ADDRESS(($B$1+1),COLUMN(BJ7)+1,,,"期末试卷原始成绩表")),"&gt;="&amp;PERCENTILE(INDIRECT(ADDRESS(2,COLUMN(BJ7)+1,,,"期末试卷原始成绩表")):INDIRECT(ADDRESS(($B$1+1),COLUMN(BJ7)+1,,,"期末试卷原始成绩表")),0.73))-AVERAGEIF(INDIRECT(ADDRESS(2,COLUMN(BJ7)+1,,,"期末试卷原始成绩表")):INDIRECT(ADDRESS(($B$1+1),COLUMN(BJ7)+1,,,"期末试卷原始成绩表")),"&lt;="&amp;PERCENTILE(INDIRECT(ADDRESS(2,COLUMN(BJ7)+1,,,"期末试卷原始成绩表")):INDIRECT(ADDRESS(($B$1+1),COLUMN(BJ7)+1,,,"期末试卷原始成绩表")),0.27)))/期末试卷分析表!BJ7)</f>
        <v> </v>
      </c>
      <c r="BK18" s="12" t="str">
        <f ca="1">IF(BK7=" "," ",(AVERAGEIF(INDIRECT(ADDRESS(2,COLUMN(BK7)+1,,,"期末试卷原始成绩表")):INDIRECT(ADDRESS(($B$1+1),COLUMN(BK7)+1,,,"期末试卷原始成绩表")),"&gt;="&amp;PERCENTILE(INDIRECT(ADDRESS(2,COLUMN(BK7)+1,,,"期末试卷原始成绩表")):INDIRECT(ADDRESS(($B$1+1),COLUMN(BK7)+1,,,"期末试卷原始成绩表")),0.73))-AVERAGEIF(INDIRECT(ADDRESS(2,COLUMN(BK7)+1,,,"期末试卷原始成绩表")):INDIRECT(ADDRESS(($B$1+1),COLUMN(BK7)+1,,,"期末试卷原始成绩表")),"&lt;="&amp;PERCENTILE(INDIRECT(ADDRESS(2,COLUMN(BK7)+1,,,"期末试卷原始成绩表")):INDIRECT(ADDRESS(($B$1+1),COLUMN(BK7)+1,,,"期末试卷原始成绩表")),0.27)))/期末试卷分析表!BK7)</f>
        <v> </v>
      </c>
      <c r="BL18" s="12" t="str">
        <f ca="1">IF(BL7=" "," ",(AVERAGEIF(INDIRECT(ADDRESS(2,COLUMN(BL7)+1,,,"期末试卷原始成绩表")):INDIRECT(ADDRESS(($B$1+1),COLUMN(BL7)+1,,,"期末试卷原始成绩表")),"&gt;="&amp;PERCENTILE(INDIRECT(ADDRESS(2,COLUMN(BL7)+1,,,"期末试卷原始成绩表")):INDIRECT(ADDRESS(($B$1+1),COLUMN(BL7)+1,,,"期末试卷原始成绩表")),0.73))-AVERAGEIF(INDIRECT(ADDRESS(2,COLUMN(BL7)+1,,,"期末试卷原始成绩表")):INDIRECT(ADDRESS(($B$1+1),COLUMN(BL7)+1,,,"期末试卷原始成绩表")),"&lt;="&amp;PERCENTILE(INDIRECT(ADDRESS(2,COLUMN(BL7)+1,,,"期末试卷原始成绩表")):INDIRECT(ADDRESS(($B$1+1),COLUMN(BL7)+1,,,"期末试卷原始成绩表")),0.27)))/期末试卷分析表!BL7)</f>
        <v> </v>
      </c>
      <c r="BM18" s="12" t="str">
        <f ca="1">IF(BM7=" "," ",(AVERAGEIF(INDIRECT(ADDRESS(2,COLUMN(BM7)+1,,,"期末试卷原始成绩表")):INDIRECT(ADDRESS(($B$1+1),COLUMN(BM7)+1,,,"期末试卷原始成绩表")),"&gt;="&amp;PERCENTILE(INDIRECT(ADDRESS(2,COLUMN(BM7)+1,,,"期末试卷原始成绩表")):INDIRECT(ADDRESS(($B$1+1),COLUMN(BM7)+1,,,"期末试卷原始成绩表")),0.73))-AVERAGEIF(INDIRECT(ADDRESS(2,COLUMN(BM7)+1,,,"期末试卷原始成绩表")):INDIRECT(ADDRESS(($B$1+1),COLUMN(BM7)+1,,,"期末试卷原始成绩表")),"&lt;="&amp;PERCENTILE(INDIRECT(ADDRESS(2,COLUMN(BM7)+1,,,"期末试卷原始成绩表")):INDIRECT(ADDRESS(($B$1+1),COLUMN(BM7)+1,,,"期末试卷原始成绩表")),0.27)))/期末试卷分析表!BM7)</f>
        <v> </v>
      </c>
      <c r="BN18" s="12" t="str">
        <f ca="1">IF(BN7=" "," ",(AVERAGEIF(INDIRECT(ADDRESS(2,COLUMN(BN7)+1,,,"期末试卷原始成绩表")):INDIRECT(ADDRESS(($B$1+1),COLUMN(BN7)+1,,,"期末试卷原始成绩表")),"&gt;="&amp;PERCENTILE(INDIRECT(ADDRESS(2,COLUMN(BN7)+1,,,"期末试卷原始成绩表")):INDIRECT(ADDRESS(($B$1+1),COLUMN(BN7)+1,,,"期末试卷原始成绩表")),0.73))-AVERAGEIF(INDIRECT(ADDRESS(2,COLUMN(BN7)+1,,,"期末试卷原始成绩表")):INDIRECT(ADDRESS(($B$1+1),COLUMN(BN7)+1,,,"期末试卷原始成绩表")),"&lt;="&amp;PERCENTILE(INDIRECT(ADDRESS(2,COLUMN(BN7)+1,,,"期末试卷原始成绩表")):INDIRECT(ADDRESS(($B$1+1),COLUMN(BN7)+1,,,"期末试卷原始成绩表")),0.27)))/期末试卷分析表!BN7)</f>
        <v> </v>
      </c>
      <c r="BO18" s="12" t="str">
        <f ca="1">IF(BO7=" "," ",(AVERAGEIF(INDIRECT(ADDRESS(2,COLUMN(BO7)+1,,,"期末试卷原始成绩表")):INDIRECT(ADDRESS(($B$1+1),COLUMN(BO7)+1,,,"期末试卷原始成绩表")),"&gt;="&amp;PERCENTILE(INDIRECT(ADDRESS(2,COLUMN(BO7)+1,,,"期末试卷原始成绩表")):INDIRECT(ADDRESS(($B$1+1),COLUMN(BO7)+1,,,"期末试卷原始成绩表")),0.73))-AVERAGEIF(INDIRECT(ADDRESS(2,COLUMN(BO7)+1,,,"期末试卷原始成绩表")):INDIRECT(ADDRESS(($B$1+1),COLUMN(BO7)+1,,,"期末试卷原始成绩表")),"&lt;="&amp;PERCENTILE(INDIRECT(ADDRESS(2,COLUMN(BO7)+1,,,"期末试卷原始成绩表")):INDIRECT(ADDRESS(($B$1+1),COLUMN(BO7)+1,,,"期末试卷原始成绩表")),0.27)))/期末试卷分析表!BO7)</f>
        <v> </v>
      </c>
      <c r="BP18" s="12" t="str">
        <f ca="1">IF(BP7=" "," ",(AVERAGEIF(INDIRECT(ADDRESS(2,COLUMN(BP7)+1,,,"期末试卷原始成绩表")):INDIRECT(ADDRESS(($B$1+1),COLUMN(BP7)+1,,,"期末试卷原始成绩表")),"&gt;="&amp;PERCENTILE(INDIRECT(ADDRESS(2,COLUMN(BP7)+1,,,"期末试卷原始成绩表")):INDIRECT(ADDRESS(($B$1+1),COLUMN(BP7)+1,,,"期末试卷原始成绩表")),0.73))-AVERAGEIF(INDIRECT(ADDRESS(2,COLUMN(BP7)+1,,,"期末试卷原始成绩表")):INDIRECT(ADDRESS(($B$1+1),COLUMN(BP7)+1,,,"期末试卷原始成绩表")),"&lt;="&amp;PERCENTILE(INDIRECT(ADDRESS(2,COLUMN(BP7)+1,,,"期末试卷原始成绩表")):INDIRECT(ADDRESS(($B$1+1),COLUMN(BP7)+1,,,"期末试卷原始成绩表")),0.27)))/期末试卷分析表!BP7)</f>
        <v> </v>
      </c>
      <c r="BQ18" s="12" t="str">
        <f ca="1">IF(BQ7=" "," ",(AVERAGEIF(INDIRECT(ADDRESS(2,COLUMN(BQ7)+1,,,"期末试卷原始成绩表")):INDIRECT(ADDRESS(($B$1+1),COLUMN(BQ7)+1,,,"期末试卷原始成绩表")),"&gt;="&amp;PERCENTILE(INDIRECT(ADDRESS(2,COLUMN(BQ7)+1,,,"期末试卷原始成绩表")):INDIRECT(ADDRESS(($B$1+1),COLUMN(BQ7)+1,,,"期末试卷原始成绩表")),0.73))-AVERAGEIF(INDIRECT(ADDRESS(2,COLUMN(BQ7)+1,,,"期末试卷原始成绩表")):INDIRECT(ADDRESS(($B$1+1),COLUMN(BQ7)+1,,,"期末试卷原始成绩表")),"&lt;="&amp;PERCENTILE(INDIRECT(ADDRESS(2,COLUMN(BQ7)+1,,,"期末试卷原始成绩表")):INDIRECT(ADDRESS(($B$1+1),COLUMN(BQ7)+1,,,"期末试卷原始成绩表")),0.27)))/期末试卷分析表!BQ7)</f>
        <v> </v>
      </c>
      <c r="BR18" s="12" t="str">
        <f ca="1">IF(BR7=" "," ",(AVERAGEIF(INDIRECT(ADDRESS(2,COLUMN(BR7)+1,,,"期末试卷原始成绩表")):INDIRECT(ADDRESS(($B$1+1),COLUMN(BR7)+1,,,"期末试卷原始成绩表")),"&gt;="&amp;PERCENTILE(INDIRECT(ADDRESS(2,COLUMN(BR7)+1,,,"期末试卷原始成绩表")):INDIRECT(ADDRESS(($B$1+1),COLUMN(BR7)+1,,,"期末试卷原始成绩表")),0.73))-AVERAGEIF(INDIRECT(ADDRESS(2,COLUMN(BR7)+1,,,"期末试卷原始成绩表")):INDIRECT(ADDRESS(($B$1+1),COLUMN(BR7)+1,,,"期末试卷原始成绩表")),"&lt;="&amp;PERCENTILE(INDIRECT(ADDRESS(2,COLUMN(BR7)+1,,,"期末试卷原始成绩表")):INDIRECT(ADDRESS(($B$1+1),COLUMN(BR7)+1,,,"期末试卷原始成绩表")),0.27)))/期末试卷分析表!BR7)</f>
        <v> </v>
      </c>
      <c r="BS18" s="12" t="str">
        <f ca="1">IF(BS7=" "," ",(AVERAGEIF(INDIRECT(ADDRESS(2,COLUMN(BS7)+1,,,"期末试卷原始成绩表")):INDIRECT(ADDRESS(($B$1+1),COLUMN(BS7)+1,,,"期末试卷原始成绩表")),"&gt;="&amp;PERCENTILE(INDIRECT(ADDRESS(2,COLUMN(BS7)+1,,,"期末试卷原始成绩表")):INDIRECT(ADDRESS(($B$1+1),COLUMN(BS7)+1,,,"期末试卷原始成绩表")),0.73))-AVERAGEIF(INDIRECT(ADDRESS(2,COLUMN(BS7)+1,,,"期末试卷原始成绩表")):INDIRECT(ADDRESS(($B$1+1),COLUMN(BS7)+1,,,"期末试卷原始成绩表")),"&lt;="&amp;PERCENTILE(INDIRECT(ADDRESS(2,COLUMN(BS7)+1,,,"期末试卷原始成绩表")):INDIRECT(ADDRESS(($B$1+1),COLUMN(BS7)+1,,,"期末试卷原始成绩表")),0.27)))/期末试卷分析表!BS7)</f>
        <v> </v>
      </c>
      <c r="BT18" s="12" t="str">
        <f ca="1">IF(BT7=" "," ",(AVERAGEIF(INDIRECT(ADDRESS(2,COLUMN(BT7)+1,,,"期末试卷原始成绩表")):INDIRECT(ADDRESS(($B$1+1),COLUMN(BT7)+1,,,"期末试卷原始成绩表")),"&gt;="&amp;PERCENTILE(INDIRECT(ADDRESS(2,COLUMN(BT7)+1,,,"期末试卷原始成绩表")):INDIRECT(ADDRESS(($B$1+1),COLUMN(BT7)+1,,,"期末试卷原始成绩表")),0.73))-AVERAGEIF(INDIRECT(ADDRESS(2,COLUMN(BT7)+1,,,"期末试卷原始成绩表")):INDIRECT(ADDRESS(($B$1+1),COLUMN(BT7)+1,,,"期末试卷原始成绩表")),"&lt;="&amp;PERCENTILE(INDIRECT(ADDRESS(2,COLUMN(BT7)+1,,,"期末试卷原始成绩表")):INDIRECT(ADDRESS(($B$1+1),COLUMN(BT7)+1,,,"期末试卷原始成绩表")),0.27)))/期末试卷分析表!BT7)</f>
        <v> </v>
      </c>
      <c r="BU18" s="12" t="str">
        <f ca="1">IF(BU7=" "," ",(AVERAGEIF(INDIRECT(ADDRESS(2,COLUMN(BU7)+1,,,"期末试卷原始成绩表")):INDIRECT(ADDRESS(($B$1+1),COLUMN(BU7)+1,,,"期末试卷原始成绩表")),"&gt;="&amp;PERCENTILE(INDIRECT(ADDRESS(2,COLUMN(BU7)+1,,,"期末试卷原始成绩表")):INDIRECT(ADDRESS(($B$1+1),COLUMN(BU7)+1,,,"期末试卷原始成绩表")),0.73))-AVERAGEIF(INDIRECT(ADDRESS(2,COLUMN(BU7)+1,,,"期末试卷原始成绩表")):INDIRECT(ADDRESS(($B$1+1),COLUMN(BU7)+1,,,"期末试卷原始成绩表")),"&lt;="&amp;PERCENTILE(INDIRECT(ADDRESS(2,COLUMN(BU7)+1,,,"期末试卷原始成绩表")):INDIRECT(ADDRESS(($B$1+1),COLUMN(BU7)+1,,,"期末试卷原始成绩表")),0.27)))/期末试卷分析表!BU7)</f>
        <v> </v>
      </c>
      <c r="BV18" s="12" t="str">
        <f ca="1">IF(BV7=" "," ",(AVERAGEIF(INDIRECT(ADDRESS(2,COLUMN(BV7)+1,,,"期末试卷原始成绩表")):INDIRECT(ADDRESS(($B$1+1),COLUMN(BV7)+1,,,"期末试卷原始成绩表")),"&gt;="&amp;PERCENTILE(INDIRECT(ADDRESS(2,COLUMN(BV7)+1,,,"期末试卷原始成绩表")):INDIRECT(ADDRESS(($B$1+1),COLUMN(BV7)+1,,,"期末试卷原始成绩表")),0.73))-AVERAGEIF(INDIRECT(ADDRESS(2,COLUMN(BV7)+1,,,"期末试卷原始成绩表")):INDIRECT(ADDRESS(($B$1+1),COLUMN(BV7)+1,,,"期末试卷原始成绩表")),"&lt;="&amp;PERCENTILE(INDIRECT(ADDRESS(2,COLUMN(BV7)+1,,,"期末试卷原始成绩表")):INDIRECT(ADDRESS(($B$1+1),COLUMN(BV7)+1,,,"期末试卷原始成绩表")),0.27)))/期末试卷分析表!BV7)</f>
        <v> </v>
      </c>
      <c r="BW18" s="12" t="str">
        <f ca="1">IF(BW7=" "," ",(AVERAGEIF(INDIRECT(ADDRESS(2,COLUMN(BW7)+1,,,"期末试卷原始成绩表")):INDIRECT(ADDRESS(($B$1+1),COLUMN(BW7)+1,,,"期末试卷原始成绩表")),"&gt;="&amp;PERCENTILE(INDIRECT(ADDRESS(2,COLUMN(BW7)+1,,,"期末试卷原始成绩表")):INDIRECT(ADDRESS(($B$1+1),COLUMN(BW7)+1,,,"期末试卷原始成绩表")),0.73))-AVERAGEIF(INDIRECT(ADDRESS(2,COLUMN(BW7)+1,,,"期末试卷原始成绩表")):INDIRECT(ADDRESS(($B$1+1),COLUMN(BW7)+1,,,"期末试卷原始成绩表")),"&lt;="&amp;PERCENTILE(INDIRECT(ADDRESS(2,COLUMN(BW7)+1,,,"期末试卷原始成绩表")):INDIRECT(ADDRESS(($B$1+1),COLUMN(BW7)+1,,,"期末试卷原始成绩表")),0.27)))/期末试卷分析表!BW7)</f>
        <v> </v>
      </c>
      <c r="BX18" s="12" t="str">
        <f ca="1">IF(BX7=" "," ",(AVERAGEIF(INDIRECT(ADDRESS(2,COLUMN(BX7)+1,,,"期末试卷原始成绩表")):INDIRECT(ADDRESS(($B$1+1),COLUMN(BX7)+1,,,"期末试卷原始成绩表")),"&gt;="&amp;PERCENTILE(INDIRECT(ADDRESS(2,COLUMN(BX7)+1,,,"期末试卷原始成绩表")):INDIRECT(ADDRESS(($B$1+1),COLUMN(BX7)+1,,,"期末试卷原始成绩表")),0.73))-AVERAGEIF(INDIRECT(ADDRESS(2,COLUMN(BX7)+1,,,"期末试卷原始成绩表")):INDIRECT(ADDRESS(($B$1+1),COLUMN(BX7)+1,,,"期末试卷原始成绩表")),"&lt;="&amp;PERCENTILE(INDIRECT(ADDRESS(2,COLUMN(BX7)+1,,,"期末试卷原始成绩表")):INDIRECT(ADDRESS(($B$1+1),COLUMN(BX7)+1,,,"期末试卷原始成绩表")),0.27)))/期末试卷分析表!BX7)</f>
        <v> </v>
      </c>
      <c r="BY18" s="12" t="str">
        <f ca="1">IF(BY7=" "," ",(AVERAGEIF(INDIRECT(ADDRESS(2,COLUMN(BY7)+1,,,"期末试卷原始成绩表")):INDIRECT(ADDRESS(($B$1+1),COLUMN(BY7)+1,,,"期末试卷原始成绩表")),"&gt;="&amp;PERCENTILE(INDIRECT(ADDRESS(2,COLUMN(BY7)+1,,,"期末试卷原始成绩表")):INDIRECT(ADDRESS(($B$1+1),COLUMN(BY7)+1,,,"期末试卷原始成绩表")),0.73))-AVERAGEIF(INDIRECT(ADDRESS(2,COLUMN(BY7)+1,,,"期末试卷原始成绩表")):INDIRECT(ADDRESS(($B$1+1),COLUMN(BY7)+1,,,"期末试卷原始成绩表")),"&lt;="&amp;PERCENTILE(INDIRECT(ADDRESS(2,COLUMN(BY7)+1,,,"期末试卷原始成绩表")):INDIRECT(ADDRESS(($B$1+1),COLUMN(BY7)+1,,,"期末试卷原始成绩表")),0.27)))/期末试卷分析表!BY7)</f>
        <v> </v>
      </c>
      <c r="BZ18" s="12" t="str">
        <f ca="1">IF(BZ7=" "," ",(AVERAGEIF(INDIRECT(ADDRESS(2,COLUMN(BZ7)+1,,,"期末试卷原始成绩表")):INDIRECT(ADDRESS(($B$1+1),COLUMN(BZ7)+1,,,"期末试卷原始成绩表")),"&gt;="&amp;PERCENTILE(INDIRECT(ADDRESS(2,COLUMN(BZ7)+1,,,"期末试卷原始成绩表")):INDIRECT(ADDRESS(($B$1+1),COLUMN(BZ7)+1,,,"期末试卷原始成绩表")),0.73))-AVERAGEIF(INDIRECT(ADDRESS(2,COLUMN(BZ7)+1,,,"期末试卷原始成绩表")):INDIRECT(ADDRESS(($B$1+1),COLUMN(BZ7)+1,,,"期末试卷原始成绩表")),"&lt;="&amp;PERCENTILE(INDIRECT(ADDRESS(2,COLUMN(BZ7)+1,,,"期末试卷原始成绩表")):INDIRECT(ADDRESS(($B$1+1),COLUMN(BZ7)+1,,,"期末试卷原始成绩表")),0.27)))/期末试卷分析表!BZ7)</f>
        <v> </v>
      </c>
      <c r="CA18" s="12" t="str">
        <f ca="1">IF(CA7=" "," ",(AVERAGEIF(INDIRECT(ADDRESS(2,COLUMN(CA7)+1,,,"期末试卷原始成绩表")):INDIRECT(ADDRESS(($B$1+1),COLUMN(CA7)+1,,,"期末试卷原始成绩表")),"&gt;="&amp;PERCENTILE(INDIRECT(ADDRESS(2,COLUMN(CA7)+1,,,"期末试卷原始成绩表")):INDIRECT(ADDRESS(($B$1+1),COLUMN(CA7)+1,,,"期末试卷原始成绩表")),0.73))-AVERAGEIF(INDIRECT(ADDRESS(2,COLUMN(CA7)+1,,,"期末试卷原始成绩表")):INDIRECT(ADDRESS(($B$1+1),COLUMN(CA7)+1,,,"期末试卷原始成绩表")),"&lt;="&amp;PERCENTILE(INDIRECT(ADDRESS(2,COLUMN(CA7)+1,,,"期末试卷原始成绩表")):INDIRECT(ADDRESS(($B$1+1),COLUMN(CA7)+1,,,"期末试卷原始成绩表")),0.27)))/期末试卷分析表!CA7)</f>
        <v> </v>
      </c>
      <c r="CB18" s="12" t="str">
        <f ca="1">IF(CB7=" "," ",(AVERAGEIF(INDIRECT(ADDRESS(2,COLUMN(CB7)+1,,,"期末试卷原始成绩表")):INDIRECT(ADDRESS(($B$1+1),COLUMN(CB7)+1,,,"期末试卷原始成绩表")),"&gt;="&amp;PERCENTILE(INDIRECT(ADDRESS(2,COLUMN(CB7)+1,,,"期末试卷原始成绩表")):INDIRECT(ADDRESS(($B$1+1),COLUMN(CB7)+1,,,"期末试卷原始成绩表")),0.73))-AVERAGEIF(INDIRECT(ADDRESS(2,COLUMN(CB7)+1,,,"期末试卷原始成绩表")):INDIRECT(ADDRESS(($B$1+1),COLUMN(CB7)+1,,,"期末试卷原始成绩表")),"&lt;="&amp;PERCENTILE(INDIRECT(ADDRESS(2,COLUMN(CB7)+1,,,"期末试卷原始成绩表")):INDIRECT(ADDRESS(($B$1+1),COLUMN(CB7)+1,,,"期末试卷原始成绩表")),0.27)))/期末试卷分析表!CB7)</f>
        <v> </v>
      </c>
      <c r="CC18" s="12" t="str">
        <f ca="1">IF(CC7=" "," ",(AVERAGEIF(INDIRECT(ADDRESS(2,COLUMN(CC7)+1,,,"期末试卷原始成绩表")):INDIRECT(ADDRESS(($B$1+1),COLUMN(CC7)+1,,,"期末试卷原始成绩表")),"&gt;="&amp;PERCENTILE(INDIRECT(ADDRESS(2,COLUMN(CC7)+1,,,"期末试卷原始成绩表")):INDIRECT(ADDRESS(($B$1+1),COLUMN(CC7)+1,,,"期末试卷原始成绩表")),0.73))-AVERAGEIF(INDIRECT(ADDRESS(2,COLUMN(CC7)+1,,,"期末试卷原始成绩表")):INDIRECT(ADDRESS(($B$1+1),COLUMN(CC7)+1,,,"期末试卷原始成绩表")),"&lt;="&amp;PERCENTILE(INDIRECT(ADDRESS(2,COLUMN(CC7)+1,,,"期末试卷原始成绩表")):INDIRECT(ADDRESS(($B$1+1),COLUMN(CC7)+1,,,"期末试卷原始成绩表")),0.27)))/期末试卷分析表!CC7)</f>
        <v> </v>
      </c>
    </row>
    <row r="19" spans="1:81">
      <c r="A19" s="7" t="s">
        <v>796</v>
      </c>
      <c r="B19" s="12" t="e">
        <f ca="1">IF(B7=" "," ",_xlfn.VAR.S(INDIRECT(ADDRESS(2,COLUMN(B7)+1,,,"期末试卷原始成绩表")):INDIRECT(ADDRESS(($B$1+1),COLUMN(B7)+1,,,"期末试卷原始成绩表"))))</f>
        <v>#REF!</v>
      </c>
      <c r="C19" s="12" t="e">
        <f ca="1">IF(C7=" "," ",_xlfn.VAR.S(INDIRECT(ADDRESS(2,COLUMN(C7)+1,,,"期末试卷原始成绩表")):INDIRECT(ADDRESS(($B$1+1),COLUMN(C7)+1,,,"期末试卷原始成绩表"))))</f>
        <v>#REF!</v>
      </c>
      <c r="D19" s="12" t="e">
        <f ca="1">IF(D7=" "," ",_xlfn.VAR.S(INDIRECT(ADDRESS(2,COLUMN(D7)+1,,,"期末试卷原始成绩表")):INDIRECT(ADDRESS(($B$1+1),COLUMN(D7)+1,,,"期末试卷原始成绩表"))))</f>
        <v>#REF!</v>
      </c>
      <c r="E19" s="12" t="e">
        <f ca="1">IF(E7=" "," ",_xlfn.VAR.S(INDIRECT(ADDRESS(2,COLUMN(E7)+1,,,"期末试卷原始成绩表")):INDIRECT(ADDRESS(($B$1+1),COLUMN(E7)+1,,,"期末试卷原始成绩表"))))</f>
        <v>#REF!</v>
      </c>
      <c r="F19" s="12" t="e">
        <f ca="1">IF(F7=" "," ",_xlfn.VAR.S(INDIRECT(ADDRESS(2,COLUMN(F7)+1,,,"期末试卷原始成绩表")):INDIRECT(ADDRESS(($B$1+1),COLUMN(F7)+1,,,"期末试卷原始成绩表"))))</f>
        <v>#REF!</v>
      </c>
      <c r="G19" s="12" t="str">
        <f ca="1">IF(G7=" "," ",_xlfn.VAR.S(INDIRECT(ADDRESS(2,COLUMN(G7)+1,,,"期末试卷原始成绩表")):INDIRECT(ADDRESS(($B$1+1),COLUMN(G7)+1,,,"期末试卷原始成绩表"))))</f>
        <v> </v>
      </c>
      <c r="H19" s="12" t="str">
        <f ca="1">IF(H7=" "," ",_xlfn.VAR.S(INDIRECT(ADDRESS(2,COLUMN(H7)+1,,,"期末试卷原始成绩表")):INDIRECT(ADDRESS(($B$1+1),COLUMN(H7)+1,,,"期末试卷原始成绩表"))))</f>
        <v> </v>
      </c>
      <c r="I19" s="12" t="str">
        <f ca="1">IF(I7=" "," ",_xlfn.VAR.S(INDIRECT(ADDRESS(2,COLUMN(I7)+1,,,"期末试卷原始成绩表")):INDIRECT(ADDRESS(($B$1+1),COLUMN(I7)+1,,,"期末试卷原始成绩表"))))</f>
        <v> </v>
      </c>
      <c r="J19" s="12" t="str">
        <f ca="1">IF(J7=" "," ",_xlfn.VAR.S(INDIRECT(ADDRESS(2,COLUMN(J7)+1,,,"期末试卷原始成绩表")):INDIRECT(ADDRESS(($B$1+1),COLUMN(J7)+1,,,"期末试卷原始成绩表"))))</f>
        <v> </v>
      </c>
      <c r="K19" s="12" t="str">
        <f ca="1">IF(K7=" "," ",_xlfn.VAR.S(INDIRECT(ADDRESS(2,COLUMN(K7)+1,,,"期末试卷原始成绩表")):INDIRECT(ADDRESS(($B$1+1),COLUMN(K7)+1,,,"期末试卷原始成绩表"))))</f>
        <v> </v>
      </c>
      <c r="L19" s="12" t="str">
        <f ca="1">IF(L7=" "," ",_xlfn.VAR.S(INDIRECT(ADDRESS(2,COLUMN(L7)+1,,,"期末试卷原始成绩表")):INDIRECT(ADDRESS(($B$1+1),COLUMN(L7)+1,,,"期末试卷原始成绩表"))))</f>
        <v> </v>
      </c>
      <c r="M19" s="12" t="str">
        <f ca="1">IF(M7=" "," ",_xlfn.VAR.S(INDIRECT(ADDRESS(2,COLUMN(M7)+1,,,"期末试卷原始成绩表")):INDIRECT(ADDRESS(($B$1+1),COLUMN(M7)+1,,,"期末试卷原始成绩表"))))</f>
        <v> </v>
      </c>
      <c r="N19" s="12" t="str">
        <f ca="1">IF(N7=" "," ",_xlfn.VAR.S(INDIRECT(ADDRESS(2,COLUMN(N7)+1,,,"期末试卷原始成绩表")):INDIRECT(ADDRESS(($B$1+1),COLUMN(N7)+1,,,"期末试卷原始成绩表"))))</f>
        <v> </v>
      </c>
      <c r="O19" s="12" t="str">
        <f ca="1">IF(O7=" "," ",_xlfn.VAR.S(INDIRECT(ADDRESS(2,COLUMN(O7)+1,,,"期末试卷原始成绩表")):INDIRECT(ADDRESS(($B$1+1),COLUMN(O7)+1,,,"期末试卷原始成绩表"))))</f>
        <v> </v>
      </c>
      <c r="P19" s="12" t="str">
        <f ca="1">IF(P7=" "," ",_xlfn.VAR.S(INDIRECT(ADDRESS(2,COLUMN(P7)+1,,,"期末试卷原始成绩表")):INDIRECT(ADDRESS(($B$1+1),COLUMN(P7)+1,,,"期末试卷原始成绩表"))))</f>
        <v> </v>
      </c>
      <c r="Q19" s="12" t="str">
        <f ca="1">IF(Q7=" "," ",_xlfn.VAR.S(INDIRECT(ADDRESS(2,COLUMN(Q7)+1,,,"期末试卷原始成绩表")):INDIRECT(ADDRESS(($B$1+1),COLUMN(Q7)+1,,,"期末试卷原始成绩表"))))</f>
        <v> </v>
      </c>
      <c r="R19" s="12" t="str">
        <f ca="1">IF(R7=" "," ",_xlfn.VAR.S(INDIRECT(ADDRESS(2,COLUMN(R7)+1,,,"期末试卷原始成绩表")):INDIRECT(ADDRESS(($B$1+1),COLUMN(R7)+1,,,"期末试卷原始成绩表"))))</f>
        <v> </v>
      </c>
      <c r="S19" s="12" t="str">
        <f ca="1">IF(S7=" "," ",_xlfn.VAR.S(INDIRECT(ADDRESS(2,COLUMN(S7)+1,,,"期末试卷原始成绩表")):INDIRECT(ADDRESS(($B$1+1),COLUMN(S7)+1,,,"期末试卷原始成绩表"))))</f>
        <v> </v>
      </c>
      <c r="T19" s="12" t="str">
        <f ca="1">IF(T7=" "," ",_xlfn.VAR.S(INDIRECT(ADDRESS(2,COLUMN(T7)+1,,,"期末试卷原始成绩表")):INDIRECT(ADDRESS(($B$1+1),COLUMN(T7)+1,,,"期末试卷原始成绩表"))))</f>
        <v> </v>
      </c>
      <c r="U19" s="12" t="str">
        <f ca="1">IF(U7=" "," ",_xlfn.VAR.S(INDIRECT(ADDRESS(2,COLUMN(U7)+1,,,"期末试卷原始成绩表")):INDIRECT(ADDRESS(($B$1+1),COLUMN(U7)+1,,,"期末试卷原始成绩表"))))</f>
        <v> </v>
      </c>
      <c r="V19" s="12" t="str">
        <f ca="1">IF(V7=" "," ",_xlfn.VAR.S(INDIRECT(ADDRESS(2,COLUMN(V7)+1,,,"期末试卷原始成绩表")):INDIRECT(ADDRESS(($B$1+1),COLUMN(V7)+1,,,"期末试卷原始成绩表"))))</f>
        <v> </v>
      </c>
      <c r="W19" s="12" t="str">
        <f ca="1">IF(W7=" "," ",_xlfn.VAR.S(INDIRECT(ADDRESS(2,COLUMN(W7)+1,,,"期末试卷原始成绩表")):INDIRECT(ADDRESS(($B$1+1),COLUMN(W7)+1,,,"期末试卷原始成绩表"))))</f>
        <v> </v>
      </c>
      <c r="X19" s="12" t="str">
        <f ca="1">IF(X7=" "," ",_xlfn.VAR.S(INDIRECT(ADDRESS(2,COLUMN(X7)+1,,,"期末试卷原始成绩表")):INDIRECT(ADDRESS(($B$1+1),COLUMN(X7)+1,,,"期末试卷原始成绩表"))))</f>
        <v> </v>
      </c>
      <c r="Y19" s="12" t="str">
        <f ca="1">IF(Y7=" "," ",_xlfn.VAR.S(INDIRECT(ADDRESS(2,COLUMN(Y7)+1,,,"期末试卷原始成绩表")):INDIRECT(ADDRESS(($B$1+1),COLUMN(Y7)+1,,,"期末试卷原始成绩表"))))</f>
        <v> </v>
      </c>
      <c r="Z19" s="12" t="str">
        <f ca="1">IF(Z7=" "," ",_xlfn.VAR.S(INDIRECT(ADDRESS(2,COLUMN(Z7)+1,,,"期末试卷原始成绩表")):INDIRECT(ADDRESS(($B$1+1),COLUMN(Z7)+1,,,"期末试卷原始成绩表"))))</f>
        <v> </v>
      </c>
      <c r="AA19" s="12" t="str">
        <f ca="1">IF(AA7=" "," ",_xlfn.VAR.S(INDIRECT(ADDRESS(2,COLUMN(AA7)+1,,,"期末试卷原始成绩表")):INDIRECT(ADDRESS(($B$1+1),COLUMN(AA7)+1,,,"期末试卷原始成绩表"))))</f>
        <v> </v>
      </c>
      <c r="AB19" s="12" t="str">
        <f ca="1">IF(AB7=" "," ",_xlfn.VAR.S(INDIRECT(ADDRESS(2,COLUMN(AB7)+1,,,"期末试卷原始成绩表")):INDIRECT(ADDRESS(($B$1+1),COLUMN(AB7)+1,,,"期末试卷原始成绩表"))))</f>
        <v> </v>
      </c>
      <c r="AC19" s="12" t="str">
        <f ca="1">IF(AC7=" "," ",_xlfn.VAR.S(INDIRECT(ADDRESS(2,COLUMN(AC7)+1,,,"期末试卷原始成绩表")):INDIRECT(ADDRESS(($B$1+1),COLUMN(AC7)+1,,,"期末试卷原始成绩表"))))</f>
        <v> </v>
      </c>
      <c r="AD19" s="12" t="str">
        <f ca="1">IF(AD7=" "," ",_xlfn.VAR.S(INDIRECT(ADDRESS(2,COLUMN(AD7)+1,,,"期末试卷原始成绩表")):INDIRECT(ADDRESS(($B$1+1),COLUMN(AD7)+1,,,"期末试卷原始成绩表"))))</f>
        <v> </v>
      </c>
      <c r="AE19" s="12" t="str">
        <f ca="1">IF(AE7=" "," ",_xlfn.VAR.S(INDIRECT(ADDRESS(2,COLUMN(AE7)+1,,,"期末试卷原始成绩表")):INDIRECT(ADDRESS(($B$1+1),COLUMN(AE7)+1,,,"期末试卷原始成绩表"))))</f>
        <v> </v>
      </c>
      <c r="AF19" s="12" t="str">
        <f ca="1">IF(AF7=" "," ",_xlfn.VAR.S(INDIRECT(ADDRESS(2,COLUMN(AF7)+1,,,"期末试卷原始成绩表")):INDIRECT(ADDRESS(($B$1+1),COLUMN(AF7)+1,,,"期末试卷原始成绩表"))))</f>
        <v> </v>
      </c>
      <c r="AG19" s="12" t="str">
        <f ca="1">IF(AG7=" "," ",_xlfn.VAR.S(INDIRECT(ADDRESS(2,COLUMN(AG7)+1,,,"期末试卷原始成绩表")):INDIRECT(ADDRESS(($B$1+1),COLUMN(AG7)+1,,,"期末试卷原始成绩表"))))</f>
        <v> </v>
      </c>
      <c r="AH19" s="12" t="str">
        <f ca="1">IF(AH7=" "," ",_xlfn.VAR.S(INDIRECT(ADDRESS(2,COLUMN(AH7)+1,,,"期末试卷原始成绩表")):INDIRECT(ADDRESS(($B$1+1),COLUMN(AH7)+1,,,"期末试卷原始成绩表"))))</f>
        <v> </v>
      </c>
      <c r="AI19" s="12" t="str">
        <f ca="1">IF(AI7=" "," ",_xlfn.VAR.S(INDIRECT(ADDRESS(2,COLUMN(AI7)+1,,,"期末试卷原始成绩表")):INDIRECT(ADDRESS(($B$1+1),COLUMN(AI7)+1,,,"期末试卷原始成绩表"))))</f>
        <v> </v>
      </c>
      <c r="AJ19" s="12" t="str">
        <f ca="1">IF(AJ7=" "," ",_xlfn.VAR.S(INDIRECT(ADDRESS(2,COLUMN(AJ7)+1,,,"期末试卷原始成绩表")):INDIRECT(ADDRESS(($B$1+1),COLUMN(AJ7)+1,,,"期末试卷原始成绩表"))))</f>
        <v> </v>
      </c>
      <c r="AK19" s="12" t="str">
        <f ca="1">IF(AK7=" "," ",_xlfn.VAR.S(INDIRECT(ADDRESS(2,COLUMN(AK7)+1,,,"期末试卷原始成绩表")):INDIRECT(ADDRESS(($B$1+1),COLUMN(AK7)+1,,,"期末试卷原始成绩表"))))</f>
        <v> </v>
      </c>
      <c r="AL19" s="12" t="str">
        <f ca="1">IF(AL7=" "," ",_xlfn.VAR.S(INDIRECT(ADDRESS(2,COLUMN(AL7)+1,,,"期末试卷原始成绩表")):INDIRECT(ADDRESS(($B$1+1),COLUMN(AL7)+1,,,"期末试卷原始成绩表"))))</f>
        <v> </v>
      </c>
      <c r="AM19" s="12" t="str">
        <f ca="1">IF(AM7=" "," ",_xlfn.VAR.S(INDIRECT(ADDRESS(2,COLUMN(AM7)+1,,,"期末试卷原始成绩表")):INDIRECT(ADDRESS(($B$1+1),COLUMN(AM7)+1,,,"期末试卷原始成绩表"))))</f>
        <v> </v>
      </c>
      <c r="AN19" s="12" t="str">
        <f ca="1">IF(AN7=" "," ",_xlfn.VAR.S(INDIRECT(ADDRESS(2,COLUMN(AN7)+1,,,"期末试卷原始成绩表")):INDIRECT(ADDRESS(($B$1+1),COLUMN(AN7)+1,,,"期末试卷原始成绩表"))))</f>
        <v> </v>
      </c>
      <c r="AO19" s="12" t="str">
        <f ca="1">IF(AO7=" "," ",_xlfn.VAR.S(INDIRECT(ADDRESS(2,COLUMN(AO7)+1,,,"期末试卷原始成绩表")):INDIRECT(ADDRESS(($B$1+1),COLUMN(AO7)+1,,,"期末试卷原始成绩表"))))</f>
        <v> </v>
      </c>
      <c r="AP19" s="12" t="str">
        <f ca="1">IF(AP7=" "," ",_xlfn.VAR.S(INDIRECT(ADDRESS(2,COLUMN(AP7)+1,,,"期末试卷原始成绩表")):INDIRECT(ADDRESS(($B$1+1),COLUMN(AP7)+1,,,"期末试卷原始成绩表"))))</f>
        <v> </v>
      </c>
      <c r="AQ19" s="12" t="str">
        <f ca="1">IF(AQ7=" "," ",_xlfn.VAR.S(INDIRECT(ADDRESS(2,COLUMN(AQ7)+1,,,"期末试卷原始成绩表")):INDIRECT(ADDRESS(($B$1+1),COLUMN(AQ7)+1,,,"期末试卷原始成绩表"))))</f>
        <v> </v>
      </c>
      <c r="AR19" s="12" t="str">
        <f ca="1">IF(AR7=" "," ",_xlfn.VAR.S(INDIRECT(ADDRESS(2,COLUMN(AR7)+1,,,"期末试卷原始成绩表")):INDIRECT(ADDRESS(($B$1+1),COLUMN(AR7)+1,,,"期末试卷原始成绩表"))))</f>
        <v> </v>
      </c>
      <c r="AS19" s="12" t="str">
        <f ca="1">IF(AS7=" "," ",_xlfn.VAR.S(INDIRECT(ADDRESS(2,COLUMN(AS7)+1,,,"期末试卷原始成绩表")):INDIRECT(ADDRESS(($B$1+1),COLUMN(AS7)+1,,,"期末试卷原始成绩表"))))</f>
        <v> </v>
      </c>
      <c r="AT19" s="12" t="str">
        <f ca="1">IF(AT7=" "," ",_xlfn.VAR.S(INDIRECT(ADDRESS(2,COLUMN(AT7)+1,,,"期末试卷原始成绩表")):INDIRECT(ADDRESS(($B$1+1),COLUMN(AT7)+1,,,"期末试卷原始成绩表"))))</f>
        <v> </v>
      </c>
      <c r="AU19" s="12" t="str">
        <f ca="1">IF(AU7=" "," ",_xlfn.VAR.S(INDIRECT(ADDRESS(2,COLUMN(AU7)+1,,,"期末试卷原始成绩表")):INDIRECT(ADDRESS(($B$1+1),COLUMN(AU7)+1,,,"期末试卷原始成绩表"))))</f>
        <v> </v>
      </c>
      <c r="AV19" s="12" t="str">
        <f ca="1">IF(AV7=" "," ",_xlfn.VAR.S(INDIRECT(ADDRESS(2,COLUMN(AV7)+1,,,"期末试卷原始成绩表")):INDIRECT(ADDRESS(($B$1+1),COLUMN(AV7)+1,,,"期末试卷原始成绩表"))))</f>
        <v> </v>
      </c>
      <c r="AW19" s="12" t="str">
        <f ca="1">IF(AW7=" "," ",_xlfn.VAR.S(INDIRECT(ADDRESS(2,COLUMN(AW7)+1,,,"期末试卷原始成绩表")):INDIRECT(ADDRESS(($B$1+1),COLUMN(AW7)+1,,,"期末试卷原始成绩表"))))</f>
        <v> </v>
      </c>
      <c r="AX19" s="12" t="str">
        <f ca="1">IF(AX7=" "," ",_xlfn.VAR.S(INDIRECT(ADDRESS(2,COLUMN(AX7)+1,,,"期末试卷原始成绩表")):INDIRECT(ADDRESS(($B$1+1),COLUMN(AX7)+1,,,"期末试卷原始成绩表"))))</f>
        <v> </v>
      </c>
      <c r="AY19" s="12" t="str">
        <f ca="1">IF(AY7=" "," ",_xlfn.VAR.S(INDIRECT(ADDRESS(2,COLUMN(AY7)+1,,,"期末试卷原始成绩表")):INDIRECT(ADDRESS(($B$1+1),COLUMN(AY7)+1,,,"期末试卷原始成绩表"))))</f>
        <v> </v>
      </c>
      <c r="AZ19" s="12" t="str">
        <f ca="1">IF(AZ7=" "," ",_xlfn.VAR.S(INDIRECT(ADDRESS(2,COLUMN(AZ7)+1,,,"期末试卷原始成绩表")):INDIRECT(ADDRESS(($B$1+1),COLUMN(AZ7)+1,,,"期末试卷原始成绩表"))))</f>
        <v> </v>
      </c>
      <c r="BA19" s="12" t="str">
        <f ca="1">IF(BA7=" "," ",_xlfn.VAR.S(INDIRECT(ADDRESS(2,COLUMN(BA7)+1,,,"期末试卷原始成绩表")):INDIRECT(ADDRESS(($B$1+1),COLUMN(BA7)+1,,,"期末试卷原始成绩表"))))</f>
        <v> </v>
      </c>
      <c r="BB19" s="12" t="str">
        <f ca="1">IF(BB7=" "," ",_xlfn.VAR.S(INDIRECT(ADDRESS(2,COLUMN(BB7)+1,,,"期末试卷原始成绩表")):INDIRECT(ADDRESS(($B$1+1),COLUMN(BB7)+1,,,"期末试卷原始成绩表"))))</f>
        <v> </v>
      </c>
      <c r="BC19" s="12" t="str">
        <f ca="1">IF(BC7=" "," ",_xlfn.VAR.S(INDIRECT(ADDRESS(2,COLUMN(BC7)+1,,,"期末试卷原始成绩表")):INDIRECT(ADDRESS(($B$1+1),COLUMN(BC7)+1,,,"期末试卷原始成绩表"))))</f>
        <v> </v>
      </c>
      <c r="BD19" s="12" t="str">
        <f ca="1">IF(BD7=" "," ",_xlfn.VAR.S(INDIRECT(ADDRESS(2,COLUMN(BD7)+1,,,"期末试卷原始成绩表")):INDIRECT(ADDRESS(($B$1+1),COLUMN(BD7)+1,,,"期末试卷原始成绩表"))))</f>
        <v> </v>
      </c>
      <c r="BE19" s="12" t="str">
        <f ca="1">IF(BE7=" "," ",_xlfn.VAR.S(INDIRECT(ADDRESS(2,COLUMN(BE7)+1,,,"期末试卷原始成绩表")):INDIRECT(ADDRESS(($B$1+1),COLUMN(BE7)+1,,,"期末试卷原始成绩表"))))</f>
        <v> </v>
      </c>
      <c r="BF19" s="12" t="str">
        <f ca="1">IF(BF7=" "," ",_xlfn.VAR.S(INDIRECT(ADDRESS(2,COLUMN(BF7)+1,,,"期末试卷原始成绩表")):INDIRECT(ADDRESS(($B$1+1),COLUMN(BF7)+1,,,"期末试卷原始成绩表"))))</f>
        <v> </v>
      </c>
      <c r="BG19" s="12" t="str">
        <f ca="1">IF(BG7=" "," ",_xlfn.VAR.S(INDIRECT(ADDRESS(2,COLUMN(BG7)+1,,,"期末试卷原始成绩表")):INDIRECT(ADDRESS(($B$1+1),COLUMN(BG7)+1,,,"期末试卷原始成绩表"))))</f>
        <v> </v>
      </c>
      <c r="BH19" s="12" t="str">
        <f ca="1">IF(BH7=" "," ",_xlfn.VAR.S(INDIRECT(ADDRESS(2,COLUMN(BH7)+1,,,"期末试卷原始成绩表")):INDIRECT(ADDRESS(($B$1+1),COLUMN(BH7)+1,,,"期末试卷原始成绩表"))))</f>
        <v> </v>
      </c>
      <c r="BI19" s="12" t="str">
        <f ca="1">IF(BI7=" "," ",_xlfn.VAR.S(INDIRECT(ADDRESS(2,COLUMN(BI7)+1,,,"期末试卷原始成绩表")):INDIRECT(ADDRESS(($B$1+1),COLUMN(BI7)+1,,,"期末试卷原始成绩表"))))</f>
        <v> </v>
      </c>
      <c r="BJ19" s="12" t="str">
        <f ca="1">IF(BJ7=" "," ",_xlfn.VAR.S(INDIRECT(ADDRESS(2,COLUMN(BJ7)+1,,,"期末试卷原始成绩表")):INDIRECT(ADDRESS(($B$1+1),COLUMN(BJ7)+1,,,"期末试卷原始成绩表"))))</f>
        <v> </v>
      </c>
      <c r="BK19" s="12" t="str">
        <f ca="1">IF(BK7=" "," ",_xlfn.VAR.S(INDIRECT(ADDRESS(2,COLUMN(BK7)+1,,,"期末试卷原始成绩表")):INDIRECT(ADDRESS(($B$1+1),COLUMN(BK7)+1,,,"期末试卷原始成绩表"))))</f>
        <v> </v>
      </c>
      <c r="BL19" s="12" t="str">
        <f ca="1">IF(BL7=" "," ",_xlfn.VAR.S(INDIRECT(ADDRESS(2,COLUMN(BL7)+1,,,"期末试卷原始成绩表")):INDIRECT(ADDRESS(($B$1+1),COLUMN(BL7)+1,,,"期末试卷原始成绩表"))))</f>
        <v> </v>
      </c>
      <c r="BM19" s="12" t="str">
        <f ca="1">IF(BM7=" "," ",_xlfn.VAR.S(INDIRECT(ADDRESS(2,COLUMN(BM7)+1,,,"期末试卷原始成绩表")):INDIRECT(ADDRESS(($B$1+1),COLUMN(BM7)+1,,,"期末试卷原始成绩表"))))</f>
        <v> </v>
      </c>
      <c r="BN19" s="12" t="str">
        <f ca="1">IF(BN7=" "," ",_xlfn.VAR.S(INDIRECT(ADDRESS(2,COLUMN(BN7)+1,,,"期末试卷原始成绩表")):INDIRECT(ADDRESS(($B$1+1),COLUMN(BN7)+1,,,"期末试卷原始成绩表"))))</f>
        <v> </v>
      </c>
      <c r="BO19" s="12" t="str">
        <f ca="1">IF(BO7=" "," ",_xlfn.VAR.S(INDIRECT(ADDRESS(2,COLUMN(BO7)+1,,,"期末试卷原始成绩表")):INDIRECT(ADDRESS(($B$1+1),COLUMN(BO7)+1,,,"期末试卷原始成绩表"))))</f>
        <v> </v>
      </c>
      <c r="BP19" s="12" t="str">
        <f ca="1">IF(BP7=" "," ",_xlfn.VAR.S(INDIRECT(ADDRESS(2,COLUMN(BP7)+1,,,"期末试卷原始成绩表")):INDIRECT(ADDRESS(($B$1+1),COLUMN(BP7)+1,,,"期末试卷原始成绩表"))))</f>
        <v> </v>
      </c>
      <c r="BQ19" s="12" t="str">
        <f ca="1">IF(BQ7=" "," ",_xlfn.VAR.S(INDIRECT(ADDRESS(2,COLUMN(BQ7)+1,,,"期末试卷原始成绩表")):INDIRECT(ADDRESS(($B$1+1),COLUMN(BQ7)+1,,,"期末试卷原始成绩表"))))</f>
        <v> </v>
      </c>
      <c r="BR19" s="12" t="str">
        <f ca="1">IF(BR7=" "," ",_xlfn.VAR.S(INDIRECT(ADDRESS(2,COLUMN(BR7)+1,,,"期末试卷原始成绩表")):INDIRECT(ADDRESS(($B$1+1),COLUMN(BR7)+1,,,"期末试卷原始成绩表"))))</f>
        <v> </v>
      </c>
      <c r="BS19" s="12" t="str">
        <f ca="1">IF(BS7=" "," ",_xlfn.VAR.S(INDIRECT(ADDRESS(2,COLUMN(BS7)+1,,,"期末试卷原始成绩表")):INDIRECT(ADDRESS(($B$1+1),COLUMN(BS7)+1,,,"期末试卷原始成绩表"))))</f>
        <v> </v>
      </c>
      <c r="BT19" s="12" t="str">
        <f ca="1">IF(BT7=" "," ",_xlfn.VAR.S(INDIRECT(ADDRESS(2,COLUMN(BT7)+1,,,"期末试卷原始成绩表")):INDIRECT(ADDRESS(($B$1+1),COLUMN(BT7)+1,,,"期末试卷原始成绩表"))))</f>
        <v> </v>
      </c>
      <c r="BU19" s="12" t="str">
        <f ca="1">IF(BU7=" "," ",_xlfn.VAR.S(INDIRECT(ADDRESS(2,COLUMN(BU7)+1,,,"期末试卷原始成绩表")):INDIRECT(ADDRESS(($B$1+1),COLUMN(BU7)+1,,,"期末试卷原始成绩表"))))</f>
        <v> </v>
      </c>
      <c r="BV19" s="12" t="str">
        <f ca="1">IF(BV7=" "," ",_xlfn.VAR.S(INDIRECT(ADDRESS(2,COLUMN(BV7)+1,,,"期末试卷原始成绩表")):INDIRECT(ADDRESS(($B$1+1),COLUMN(BV7)+1,,,"期末试卷原始成绩表"))))</f>
        <v> </v>
      </c>
      <c r="BW19" s="12" t="str">
        <f ca="1">IF(BW7=" "," ",_xlfn.VAR.S(INDIRECT(ADDRESS(2,COLUMN(BW7)+1,,,"期末试卷原始成绩表")):INDIRECT(ADDRESS(($B$1+1),COLUMN(BW7)+1,,,"期末试卷原始成绩表"))))</f>
        <v> </v>
      </c>
      <c r="BX19" s="12" t="str">
        <f ca="1">IF(BX7=" "," ",_xlfn.VAR.S(INDIRECT(ADDRESS(2,COLUMN(BX7)+1,,,"期末试卷原始成绩表")):INDIRECT(ADDRESS(($B$1+1),COLUMN(BX7)+1,,,"期末试卷原始成绩表"))))</f>
        <v> </v>
      </c>
      <c r="BY19" s="12" t="str">
        <f ca="1">IF(BY7=" "," ",_xlfn.VAR.S(INDIRECT(ADDRESS(2,COLUMN(BY7)+1,,,"期末试卷原始成绩表")):INDIRECT(ADDRESS(($B$1+1),COLUMN(BY7)+1,,,"期末试卷原始成绩表"))))</f>
        <v> </v>
      </c>
      <c r="BZ19" s="12" t="str">
        <f ca="1">IF(BZ7=" "," ",_xlfn.VAR.S(INDIRECT(ADDRESS(2,COLUMN(BZ7)+1,,,"期末试卷原始成绩表")):INDIRECT(ADDRESS(($B$1+1),COLUMN(BZ7)+1,,,"期末试卷原始成绩表"))))</f>
        <v> </v>
      </c>
      <c r="CA19" s="12" t="str">
        <f ca="1">IF(CA7=" "," ",_xlfn.VAR.S(INDIRECT(ADDRESS(2,COLUMN(CA7)+1,,,"期末试卷原始成绩表")):INDIRECT(ADDRESS(($B$1+1),COLUMN(CA7)+1,,,"期末试卷原始成绩表"))))</f>
        <v> </v>
      </c>
      <c r="CB19" s="12" t="str">
        <f ca="1">IF(CB7=" "," ",_xlfn.VAR.S(INDIRECT(ADDRESS(2,COLUMN(CB7)+1,,,"期末试卷原始成绩表")):INDIRECT(ADDRESS(($B$1+1),COLUMN(CB7)+1,,,"期末试卷原始成绩表"))))</f>
        <v> </v>
      </c>
      <c r="CC19" s="12" t="str">
        <f ca="1">IF(CC7=" "," ",_xlfn.VAR.S(INDIRECT(ADDRESS(2,COLUMN(CC7)+1,,,"期末试卷原始成绩表")):INDIRECT(ADDRESS(($B$1+1),COLUMN(CC7)+1,,,"期末试卷原始成绩表"))))</f>
        <v> </v>
      </c>
    </row>
    <row r="21" spans="1:2">
      <c r="A21" s="13" t="s">
        <v>797</v>
      </c>
      <c r="B21" s="13"/>
    </row>
    <row r="22" spans="1:2">
      <c r="A22" s="7" t="s">
        <v>794</v>
      </c>
      <c r="B22" s="5" t="e">
        <f ca="1">IF(L12=" "," ",1-L12/L13)</f>
        <v>#REF!</v>
      </c>
    </row>
    <row r="23" spans="1:2">
      <c r="A23" s="7" t="s">
        <v>795</v>
      </c>
      <c r="B23" s="12" t="e">
        <f ca="1">IF(L13=" "," ",(AVERAGEIF(INDIRECT(ADDRESS(2,COLUMN(CO7),,,"期末试卷原始成绩表")):INDIRECT(ADDRESS(($B$1+1),COLUMN(CO7),,,"期末试卷原始成绩表")),"&gt;="&amp;PERCENTILE(INDIRECT(ADDRESS(2,COLUMN(CO7),,,"期末试卷原始成绩表")):INDIRECT(ADDRESS(($B$1+1),COLUMN(CO7),,,"期末试卷原始成绩表")),0.73))-AVERAGEIF(INDIRECT(ADDRESS(2,COLUMN(CO7),,,"期末试卷原始成绩表")):INDIRECT(ADDRESS(($B$1+1),COLUMN(CO7),,,"期末试卷原始成绩表")),"&lt;="&amp;PERCENTILE(INDIRECT(ADDRESS(2,COLUMN(CO7),,,"期末试卷原始成绩表")):INDIRECT(ADDRESS(($B$1+1),COLUMN(CO7),,,"期末试卷原始成绩表")),0.27)))/L13)</f>
        <v>#REF!</v>
      </c>
    </row>
    <row r="24" spans="1:4">
      <c r="A24" s="7" t="s">
        <v>798</v>
      </c>
      <c r="B24" s="12" t="e">
        <f ca="1">IF(L13=" "," ",B1/(B1-1)*(1-SUM(B19:CC19)/_xlfn.VAR.S(INDIRECT(ADDRESS(2,COLUMN(CO7),,,"期末试卷原始成绩表")):INDIRECT(ADDRESS(($B$1+1),COLUMN(CO7),,,"期末试卷原始成绩表")))))</f>
        <v>#REF!</v>
      </c>
      <c r="D24" s="14"/>
    </row>
    <row r="25" spans="1:2">
      <c r="A25" s="7" t="s">
        <v>799</v>
      </c>
      <c r="B25" s="12" t="e">
        <f ca="1">SUM(B18:CC18)/'2、试卷（期末）'!B12</f>
        <v>#REF!</v>
      </c>
    </row>
    <row r="26" spans="1:2">
      <c r="A26" s="7" t="s">
        <v>800</v>
      </c>
      <c r="B26" s="12" t="e">
        <f ca="1">3*(L12-MEDIAN(INDIRECT(ADDRESS(2,COLUMN(CO7),,,"期末试卷原始成绩表")):INDIRECT(ADDRESS(($B$1+1),COLUMN(CO7),,,"期末试卷原始成绩表"))))/_xlfn.STDEV.S(INDIRECT(ADDRESS(2,COLUMN(CO7),,,"期末试卷原始成绩表")):INDIRECT(ADDRESS(($B$1+1),COLUMN(CO7),,,"期末试卷原始成绩表")))</f>
        <v>#REF!</v>
      </c>
    </row>
    <row r="28" ht="14.1" customHeight="1" spans="1:13">
      <c r="A28" s="15" t="s">
        <v>801</v>
      </c>
      <c r="B28" s="15"/>
      <c r="C28" s="15"/>
      <c r="D28" s="15"/>
      <c r="E28" s="15"/>
      <c r="F28" s="15"/>
      <c r="G28" s="15"/>
      <c r="H28" s="15"/>
      <c r="I28" s="15"/>
      <c r="J28" s="15"/>
      <c r="K28" s="15"/>
      <c r="L28" s="15"/>
      <c r="M28" s="15"/>
    </row>
    <row r="29" spans="1:13">
      <c r="A29" s="15" t="s">
        <v>802</v>
      </c>
      <c r="B29" s="15" t="s">
        <v>803</v>
      </c>
      <c r="C29" s="15"/>
      <c r="D29" s="15"/>
      <c r="E29" s="15"/>
      <c r="F29" s="15"/>
      <c r="G29" s="15"/>
      <c r="H29" s="15"/>
      <c r="I29" s="15"/>
      <c r="J29" s="15"/>
      <c r="K29" s="15"/>
      <c r="L29" s="15"/>
      <c r="M29" s="15"/>
    </row>
    <row r="30" ht="51.6" customHeight="1" spans="1:13">
      <c r="A30" s="15" t="s">
        <v>794</v>
      </c>
      <c r="B30" s="16" t="s">
        <v>804</v>
      </c>
      <c r="C30" s="16"/>
      <c r="D30" s="16"/>
      <c r="E30" s="16"/>
      <c r="F30" s="16"/>
      <c r="G30" s="16"/>
      <c r="H30" s="16"/>
      <c r="I30" s="16"/>
      <c r="J30" s="16"/>
      <c r="K30" s="16"/>
      <c r="L30" s="16"/>
      <c r="M30" s="16"/>
    </row>
    <row r="31" ht="114.9" customHeight="1" spans="1:13">
      <c r="A31" s="15" t="s">
        <v>795</v>
      </c>
      <c r="B31" s="16" t="s">
        <v>805</v>
      </c>
      <c r="C31" s="16"/>
      <c r="D31" s="16"/>
      <c r="E31" s="16"/>
      <c r="F31" s="16"/>
      <c r="G31" s="16"/>
      <c r="H31" s="16"/>
      <c r="I31" s="16"/>
      <c r="J31" s="16"/>
      <c r="K31" s="16"/>
      <c r="L31" s="16"/>
      <c r="M31" s="16"/>
    </row>
    <row r="32" ht="26.4" customHeight="1" spans="1:13">
      <c r="A32" s="15" t="s">
        <v>798</v>
      </c>
      <c r="B32" s="16" t="s">
        <v>806</v>
      </c>
      <c r="C32" s="16"/>
      <c r="D32" s="16"/>
      <c r="E32" s="16"/>
      <c r="F32" s="16"/>
      <c r="G32" s="16"/>
      <c r="H32" s="16"/>
      <c r="I32" s="16"/>
      <c r="J32" s="16"/>
      <c r="K32" s="16"/>
      <c r="L32" s="16"/>
      <c r="M32" s="16"/>
    </row>
    <row r="33" ht="54.6" customHeight="1" spans="1:13">
      <c r="A33" s="15" t="s">
        <v>799</v>
      </c>
      <c r="B33" s="16" t="s">
        <v>807</v>
      </c>
      <c r="C33" s="16"/>
      <c r="D33" s="16"/>
      <c r="E33" s="16"/>
      <c r="F33" s="16"/>
      <c r="G33" s="16"/>
      <c r="H33" s="16"/>
      <c r="I33" s="16"/>
      <c r="J33" s="16"/>
      <c r="K33" s="16"/>
      <c r="L33" s="16"/>
      <c r="M33" s="16"/>
    </row>
    <row r="34" ht="14.1" customHeight="1" spans="1:13">
      <c r="A34" s="15" t="s">
        <v>800</v>
      </c>
      <c r="B34" s="17" t="s">
        <v>808</v>
      </c>
      <c r="C34" s="17"/>
      <c r="D34" s="17"/>
      <c r="E34" s="17"/>
      <c r="F34" s="17"/>
      <c r="G34" s="17"/>
      <c r="H34" s="17"/>
      <c r="I34" s="17"/>
      <c r="J34" s="17"/>
      <c r="K34" s="17"/>
      <c r="L34" s="17"/>
      <c r="M34" s="17"/>
    </row>
  </sheetData>
  <sheetProtection password="C71F" sheet="1" formatCells="0" insertRows="0" insertColumns="0" insertHyperlinks="0" deleteColumns="0" deleteRows="0" objects="1" scenarios="1"/>
  <mergeCells count="9">
    <mergeCell ref="A15:CC15"/>
    <mergeCell ref="A21:B21"/>
    <mergeCell ref="A28:M28"/>
    <mergeCell ref="B29:M29"/>
    <mergeCell ref="B30:M30"/>
    <mergeCell ref="B31:M31"/>
    <mergeCell ref="B32:M32"/>
    <mergeCell ref="B33:M33"/>
    <mergeCell ref="B34:M34"/>
  </mergeCells>
  <pageMargins left="0.699305555555556" right="0.699305555555556" top="0.75" bottom="0.75" header="0.3" footer="0.3"/>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indexed="10"/>
  </sheetPr>
  <dimension ref="A1:AK19"/>
  <sheetViews>
    <sheetView zoomScale="80" zoomScaleNormal="80" workbookViewId="0">
      <selection activeCell="B3" sqref="B3"/>
    </sheetView>
  </sheetViews>
  <sheetFormatPr defaultColWidth="9" defaultRowHeight="14"/>
  <cols>
    <col min="1" max="1" width="9.5" customWidth="1"/>
    <col min="2" max="2" width="11.975" customWidth="1"/>
    <col min="3" max="3" width="8.66666666666667" customWidth="1"/>
    <col min="4" max="4" width="8.41666666666667" customWidth="1"/>
    <col min="5" max="5" width="8" customWidth="1"/>
    <col min="6" max="6" width="7.08333333333333" customWidth="1"/>
    <col min="7" max="7" width="8.08333333333333" customWidth="1"/>
    <col min="8" max="8" width="8.58333333333333" customWidth="1"/>
    <col min="9" max="9" width="7.83333333333333" customWidth="1"/>
    <col min="10" max="12" width="20" hidden="1" customWidth="1"/>
    <col min="13" max="16" width="9" hidden="1" customWidth="1"/>
    <col min="17" max="17" width="15.5833333333333" hidden="1" customWidth="1"/>
    <col min="18" max="21" width="9" hidden="1" customWidth="1"/>
    <col min="22" max="22" width="37.9083333333333" customWidth="1"/>
    <col min="23" max="23" width="34.2666666666667" customWidth="1"/>
    <col min="24" max="25" width="9" hidden="1" customWidth="1"/>
    <col min="26" max="26" width="11.4166666666667" hidden="1" customWidth="1"/>
    <col min="27" max="27" width="7.75" hidden="1" customWidth="1"/>
    <col min="28" max="30" width="9" hidden="1" customWidth="1"/>
    <col min="31" max="31" width="7.08333333333333" hidden="1" customWidth="1"/>
    <col min="32" max="32" width="9" hidden="1" customWidth="1"/>
    <col min="33" max="33" width="9.83333333333333" hidden="1" customWidth="1"/>
    <col min="34" max="42" width="9" hidden="1" customWidth="1"/>
    <col min="43" max="66" width="9" customWidth="1"/>
  </cols>
  <sheetData>
    <row r="1" ht="27" customHeight="1" spans="1:35">
      <c r="A1" s="465" t="s">
        <v>31</v>
      </c>
      <c r="B1" s="466" t="s">
        <v>32</v>
      </c>
      <c r="C1" s="465" t="s">
        <v>33</v>
      </c>
      <c r="D1" s="467">
        <f>VLOOKUP(B1,数据源1!A2:B120,2,FALSE)</f>
        <v>52080105</v>
      </c>
      <c r="E1" s="468" t="s">
        <v>34</v>
      </c>
      <c r="F1" s="468"/>
      <c r="G1" s="468"/>
      <c r="H1" s="468"/>
      <c r="I1" s="468"/>
      <c r="J1" s="246"/>
      <c r="K1" s="246"/>
      <c r="L1" s="246"/>
      <c r="M1" s="486" t="str">
        <f>IF(OR(M2=0,N2=0,O2=0,P2=0,Q2=0,R2=0,S2=0),"N","Y")</f>
        <v>Y</v>
      </c>
      <c r="N1" s="487"/>
      <c r="O1" s="487"/>
      <c r="P1" s="487"/>
      <c r="Q1" s="487"/>
      <c r="R1" s="487"/>
      <c r="S1" s="487"/>
      <c r="T1" s="497"/>
      <c r="U1" s="498"/>
      <c r="V1" s="499" t="s">
        <v>35</v>
      </c>
      <c r="W1" s="500" t="s">
        <v>36</v>
      </c>
      <c r="X1" s="501" t="s">
        <v>37</v>
      </c>
      <c r="Y1" s="501"/>
      <c r="Z1" s="501"/>
      <c r="AA1" s="524"/>
      <c r="AB1" s="246"/>
      <c r="AC1" s="246"/>
      <c r="AD1" s="246"/>
      <c r="AE1" s="525" t="s">
        <v>38</v>
      </c>
      <c r="AG1" s="531" t="b">
        <f t="shared" ref="AG1:AG6" si="0">IF(AF1:AF10&lt;&gt;"",ROW(AF1:AF10))</f>
        <v>0</v>
      </c>
      <c r="AH1">
        <f>SMALL($AG$1:$AG$10,ROW(AG1:AG10))</f>
        <v>3</v>
      </c>
      <c r="AI1" t="str">
        <f>IFERROR(INDEX($AF$1:$AF$10,AH1:AH10),"")</f>
        <v>1</v>
      </c>
    </row>
    <row r="2" ht="19" customHeight="1" spans="1:35">
      <c r="A2" s="469" t="s">
        <v>39</v>
      </c>
      <c r="B2" s="469" t="s">
        <v>40</v>
      </c>
      <c r="C2" s="470" t="s">
        <v>41</v>
      </c>
      <c r="D2" s="470">
        <v>1</v>
      </c>
      <c r="E2" s="470"/>
      <c r="F2" s="470"/>
      <c r="G2" s="470"/>
      <c r="H2" s="469" t="s">
        <v>42</v>
      </c>
      <c r="I2" s="469" t="s">
        <v>43</v>
      </c>
      <c r="J2" s="246"/>
      <c r="K2" s="246" t="s">
        <v>44</v>
      </c>
      <c r="L2" s="246"/>
      <c r="M2" s="487">
        <f>IF(M3="",1,COUNTIF($B$3:$B$12,M3))</f>
        <v>1</v>
      </c>
      <c r="N2" s="487">
        <f t="shared" ref="N2:S2" si="1">IF(N3="",1,COUNTIF($B$3:$B$12,N3))</f>
        <v>1</v>
      </c>
      <c r="O2" s="487">
        <f t="shared" si="1"/>
        <v>1</v>
      </c>
      <c r="P2" s="487">
        <f t="shared" si="1"/>
        <v>1</v>
      </c>
      <c r="Q2" s="487">
        <f t="shared" si="1"/>
        <v>1</v>
      </c>
      <c r="R2" s="487">
        <f t="shared" si="1"/>
        <v>1</v>
      </c>
      <c r="S2" s="487">
        <f t="shared" si="1"/>
        <v>1</v>
      </c>
      <c r="T2" s="497"/>
      <c r="U2" s="498"/>
      <c r="V2" s="499"/>
      <c r="W2" s="502"/>
      <c r="X2" s="501"/>
      <c r="Y2" s="501"/>
      <c r="Z2" s="501"/>
      <c r="AA2" s="524"/>
      <c r="AB2" s="246"/>
      <c r="AC2" s="246"/>
      <c r="AD2" s="246"/>
      <c r="AE2" s="525"/>
      <c r="AG2" s="531" t="b">
        <f t="shared" si="0"/>
        <v>0</v>
      </c>
      <c r="AH2">
        <f>SMALL($AG$1:$AG$10,ROW(AG2:AG11))</f>
        <v>4</v>
      </c>
      <c r="AI2" t="str">
        <f>IFERROR(INDEX($AF$1:$AF$10,AH2:AH11),"")</f>
        <v>2</v>
      </c>
    </row>
    <row r="3" ht="27" customHeight="1" spans="1:37">
      <c r="A3" s="471" t="s">
        <v>45</v>
      </c>
      <c r="B3" s="472">
        <v>2.3</v>
      </c>
      <c r="C3" s="473">
        <v>5</v>
      </c>
      <c r="D3" s="474">
        <v>4</v>
      </c>
      <c r="E3" s="474"/>
      <c r="F3" s="474"/>
      <c r="G3" s="474"/>
      <c r="H3" s="473">
        <v>20</v>
      </c>
      <c r="I3" s="488">
        <f>SUM($C3:$H3)</f>
        <v>29</v>
      </c>
      <c r="J3" s="246"/>
      <c r="K3" s="246">
        <f>IF('5、打印达成度'!D6=" "," ",'5、打印达成度'!D6*$H$13/$I$13)</f>
        <v>0</v>
      </c>
      <c r="L3" s="246" t="s">
        <v>46</v>
      </c>
      <c r="M3" s="246">
        <f>IF(VLOOKUP($B$1,数据源1!$A$2:$J$120,4,0)=0,"",VLOOKUP($B$1,数据源1!$A$2:$J$120,4,0))</f>
        <v>2.3</v>
      </c>
      <c r="N3" s="246">
        <f>IF(VLOOKUP($B$1,数据源1!$A$2:$J$120,5,0)=0,"",VLOOKUP($B$1,数据源1!$A$2:$J$120,5,0))</f>
        <v>3.4</v>
      </c>
      <c r="O3" s="246">
        <f>IF(VLOOKUP($B$1,数据源1!$A$2:$J$120,6,0)=0,"",VLOOKUP($B$1,数据源1!$A$2:$J$120,6,0))</f>
        <v>5.3</v>
      </c>
      <c r="P3" s="246" t="str">
        <f>IF(VLOOKUP($B$1,数据源1!$A$2:$J$120,7,0)=0,"",VLOOKUP($B$1,数据源1!$A$2:$J$120,7,0))</f>
        <v/>
      </c>
      <c r="Q3" s="246" t="str">
        <f>IF(VLOOKUP($B$1,数据源1!$A$2:$J$120,8,0)=0,"",VLOOKUP($B$1,数据源1!$A$2:$J$120,8,0))</f>
        <v/>
      </c>
      <c r="R3" s="246" t="str">
        <f>IF(VLOOKUP($B$1,数据源1!$A$2:$J$120,9,0)=0,"",VLOOKUP($B$1,数据源1!$A$2:$J$120,9,0))</f>
        <v/>
      </c>
      <c r="S3" s="246" t="str">
        <f>IF(VLOOKUP($B$1,数据源1!$A$2:$J$120,10,0)=0,"",VLOOKUP($B$1,数据源1!$A$2:$J$120,10,0))</f>
        <v/>
      </c>
      <c r="T3" s="503">
        <f>IF(AND(A3="",I3&lt;&gt;0),1,0)</f>
        <v>0</v>
      </c>
      <c r="U3" s="504" t="str">
        <f>IF(COUNTIF(T3:T12,1)&gt;=1,"Y","N")</f>
        <v>N</v>
      </c>
      <c r="V3" s="505" t="str">
        <f>IF(A3="","",AC3)</f>
        <v>2.3(选择和寻求)能认识到解决问题有多种方案可供选择，在进行空间信息工程设计与开发时能够根据外部条件约束，会通过文献研究寻求可替代的解决方案；</v>
      </c>
      <c r="W3" s="506" t="str">
        <f>IF(M1="N","课程目标与毕业要求对应不符合要求！！",AK3&amp;CHAR(10)&amp;AK4&amp;CHAR(10)&amp;AK5&amp;CHAR(10)&amp;AK6&amp;CHAR(10)&amp;AK7&amp;CHAR(10)&amp;AK8&amp;CHAR(10)&amp;AK9&amp;CHAR(10)&amp;AK10)</f>
        <v>2.3(选择和寻求)能认识到解决问题有多种方案可供选择，在进行空间信息工程设计与开发时能够根据外部条件约束，会通过文献研究寻求可替代的解决方案；
3.4(非技术层面)能够在社会、健康、安全、法律、文化以及环境等制约因素下，从技术、经济角度对设计方案的可行性进行评价。
5.3(选用或开发)针对空间信息领域中的复杂工程问题，能够开发或选用恰当的仿真或设计工具和技术，模拟与预测空间信息领域复杂工程问题的解决方案，并能够分析其局限性。
</v>
      </c>
      <c r="X3" s="507">
        <v>222</v>
      </c>
      <c r="Y3" s="526"/>
      <c r="Z3" s="526"/>
      <c r="AA3" s="246"/>
      <c r="AB3" s="246">
        <f>B3</f>
        <v>2.3</v>
      </c>
      <c r="AC3" s="246" t="str">
        <f>IF(ISNUMBER(FIND("18版",$B$1)),VLOOKUP(B3,指标点!$A$38:$B$74,2,FALSE),VLOOKUP(B3,指标点!$A$75:$B$111,2,FALSE))</f>
        <v>2.3(选择和寻求)能认识到解决问题有多种方案可供选择，在进行空间信息工程设计与开发时能够根据外部条件约束，会通过文献研究寻求可替代的解决方案；</v>
      </c>
      <c r="AD3" s="246">
        <f>IF(A3&lt;&gt;"",IF(X3="",0,1),IF(X3&lt;&gt;"",0,1))</f>
        <v>1</v>
      </c>
      <c r="AE3" s="527" t="str">
        <f>IF(AD3=0,IF(X3="","&lt;-输入课程目标","×"),"")</f>
        <v/>
      </c>
      <c r="AF3" t="str">
        <f>IF(H3=0,"",SUBSTITUTE(A3,"课程目标",""))</f>
        <v>1</v>
      </c>
      <c r="AG3" s="531">
        <f t="shared" si="0"/>
        <v>3</v>
      </c>
      <c r="AH3">
        <f>SMALL($AG$1:$AG$10,ROW(AG3:AG12))</f>
        <v>5</v>
      </c>
      <c r="AI3" t="str">
        <f>IFERROR(INDEX($AF$1:$AF$10,AH3:AH12),"")</f>
        <v>3</v>
      </c>
      <c r="AJ3" t="str">
        <f t="array" ref="AJ3:AJ10">_xlfn.UNIQUE(V3:V10,FALSE,FALSE)</f>
        <v>2.3(选择和寻求)能认识到解决问题有多种方案可供选择，在进行空间信息工程设计与开发时能够根据外部条件约束，会通过文献研究寻求可替代的解决方案；</v>
      </c>
      <c r="AK3" t="str">
        <f>IF(ISNA(AJ3),"",IF(AJ3=0,"",AJ3))</f>
        <v>2.3(选择和寻求)能认识到解决问题有多种方案可供选择，在进行空间信息工程设计与开发时能够根据外部条件约束，会通过文献研究寻求可替代的解决方案；</v>
      </c>
    </row>
    <row r="4" ht="27" customHeight="1" spans="1:37">
      <c r="A4" s="471" t="s">
        <v>47</v>
      </c>
      <c r="B4" s="472">
        <v>3.4</v>
      </c>
      <c r="C4" s="473">
        <v>5</v>
      </c>
      <c r="D4" s="474">
        <v>4</v>
      </c>
      <c r="E4" s="474"/>
      <c r="F4" s="474"/>
      <c r="G4" s="474"/>
      <c r="H4" s="473">
        <v>21</v>
      </c>
      <c r="I4" s="488">
        <f t="shared" ref="I4:I12" si="2">SUM($C4:$H4)</f>
        <v>30</v>
      </c>
      <c r="J4" s="246"/>
      <c r="K4" s="246">
        <f>IF('5、打印达成度'!D7=" "," ",'5、打印达成度'!D7*$H$13/$I$13)</f>
        <v>25.974025974026</v>
      </c>
      <c r="L4" s="246"/>
      <c r="M4" s="246">
        <f>VLOOKUP($B$1,数据源1!$A$2:$Q$120,11,0)</f>
        <v>0.3</v>
      </c>
      <c r="N4" s="246">
        <f>VLOOKUP($B$1,数据源1!$A$2:$Q$120,12,0)</f>
        <v>0.1</v>
      </c>
      <c r="O4" s="246">
        <f>VLOOKUP($B$1,数据源1!$A$2:$Q$120,13,0)</f>
        <v>0.2</v>
      </c>
      <c r="P4" s="246">
        <f>VLOOKUP($B$1,数据源1!$A$2:$Q$120,14,0)</f>
        <v>0</v>
      </c>
      <c r="Q4" s="246">
        <f>VLOOKUP($B$1,数据源1!$A$2:$Q$120,15,0)</f>
        <v>0</v>
      </c>
      <c r="R4" s="246">
        <f>VLOOKUP($B$1,数据源1!$A$2:$Q$120,16,0)</f>
        <v>0</v>
      </c>
      <c r="S4" s="246">
        <f>VLOOKUP($B$1,数据源1!$A$2:$Q$120,17,0)</f>
        <v>0</v>
      </c>
      <c r="T4" s="503">
        <f t="shared" ref="T4:T12" si="3">IF(AND(A4="",I4&lt;&gt;0),1,0)</f>
        <v>0</v>
      </c>
      <c r="U4" s="498"/>
      <c r="V4" s="505" t="str">
        <f t="shared" ref="V4:V9" si="4">IF(A4="","",AC4)</f>
        <v>3.4(非技术层面)能够在社会、健康、安全、法律、文化以及环境等制约因素下，从技术、经济角度对设计方案的可行性进行评价。</v>
      </c>
      <c r="W4" s="508"/>
      <c r="X4" s="507" t="s">
        <v>48</v>
      </c>
      <c r="Y4" s="526"/>
      <c r="Z4" s="526"/>
      <c r="AA4" s="246"/>
      <c r="AB4" s="246">
        <f t="shared" ref="AB4:AB9" si="5">B4</f>
        <v>3.4</v>
      </c>
      <c r="AC4" s="246" t="str">
        <f>IF(ISNUMBER(FIND("18版",$B$1)),VLOOKUP(B4,指标点!$A$38:$B$74,2,FALSE),VLOOKUP(B4,指标点!$A$75:$B$111,2,FALSE))</f>
        <v>3.4(非技术层面)能够在社会、健康、安全、法律、文化以及环境等制约因素下，从技术、经济角度对设计方案的可行性进行评价。</v>
      </c>
      <c r="AD4" s="246">
        <f t="shared" ref="AD4:AD9" si="6">IF(A4&lt;&gt;"",IF(X4="",0,1),IF(X4&lt;&gt;"",0,1))</f>
        <v>1</v>
      </c>
      <c r="AE4" s="527" t="str">
        <f t="shared" ref="AE4:AE9" si="7">IF(AD4=0,IF(X4="","&lt;-输入课程目标","×"),"")</f>
        <v/>
      </c>
      <c r="AF4" t="str">
        <f t="shared" ref="AF4:AF10" si="8">IF(H4=0,"",SUBSTITUTE(A4,"课程目标",""))</f>
        <v>2</v>
      </c>
      <c r="AG4" s="531">
        <f t="shared" si="0"/>
        <v>4</v>
      </c>
      <c r="AH4" t="e">
        <f>SMALL($AG$1:$AG$10,ROW(AG4:AG13))</f>
        <v>#NUM!</v>
      </c>
      <c r="AI4" t="str">
        <f>IFERROR(INDEX($AF$1:$AF$10,AH4:AH13),"")</f>
        <v/>
      </c>
      <c r="AJ4" t="str">
        <v>3.4(非技术层面)能够在社会、健康、安全、法律、文化以及环境等制约因素下，从技术、经济角度对设计方案的可行性进行评价。</v>
      </c>
      <c r="AK4" t="str">
        <f t="shared" ref="AK4:AK10" si="9">IF(ISNA(AJ4),"",IF(AJ4=0,"",AJ4))</f>
        <v>3.4(非技术层面)能够在社会、健康、安全、法律、文化以及环境等制约因素下，从技术、经济角度对设计方案的可行性进行评价。</v>
      </c>
    </row>
    <row r="5" ht="27" customHeight="1" spans="1:37">
      <c r="A5" s="471" t="s">
        <v>49</v>
      </c>
      <c r="B5" s="472">
        <v>5.3</v>
      </c>
      <c r="C5" s="473">
        <v>5</v>
      </c>
      <c r="D5" s="474">
        <v>4</v>
      </c>
      <c r="E5" s="474"/>
      <c r="F5" s="474"/>
      <c r="G5" s="474"/>
      <c r="H5" s="473">
        <v>9</v>
      </c>
      <c r="I5" s="488">
        <f t="shared" si="2"/>
        <v>18</v>
      </c>
      <c r="J5" s="246"/>
      <c r="K5" s="246">
        <f>IF('5、打印达成度'!D8=" "," ",'5、打印达成度'!D8*$H$13/$I$13)</f>
        <v>25.974025974026</v>
      </c>
      <c r="L5" s="246"/>
      <c r="M5" s="246"/>
      <c r="N5" s="246"/>
      <c r="O5" s="246"/>
      <c r="P5" s="246"/>
      <c r="Q5" s="246"/>
      <c r="R5" s="246"/>
      <c r="S5" s="246"/>
      <c r="T5" s="503">
        <f t="shared" si="3"/>
        <v>0</v>
      </c>
      <c r="U5" s="498"/>
      <c r="V5" s="505" t="str">
        <f t="shared" si="4"/>
        <v>5.3(选用或开发)针对空间信息领域中的复杂工程问题，能够开发或选用恰当的仿真或设计工具和技术，模拟与预测空间信息领域复杂工程问题的解决方案，并能够分析其局限性。</v>
      </c>
      <c r="W5" s="508"/>
      <c r="X5" s="507" t="s">
        <v>48</v>
      </c>
      <c r="Y5" s="526"/>
      <c r="Z5" s="526"/>
      <c r="AA5" s="246"/>
      <c r="AB5" s="246">
        <f t="shared" si="5"/>
        <v>5.3</v>
      </c>
      <c r="AC5" s="246" t="str">
        <f>IF(ISNUMBER(FIND("18版",$B$1)),VLOOKUP(B5,指标点!$A$38:$B$74,2,FALSE),VLOOKUP(B5,指标点!$A$75:$B$111,2,FALSE))</f>
        <v>5.3(选用或开发)针对空间信息领域中的复杂工程问题，能够开发或选用恰当的仿真或设计工具和技术，模拟与预测空间信息领域复杂工程问题的解决方案，并能够分析其局限性。</v>
      </c>
      <c r="AD5" s="246">
        <f t="shared" si="6"/>
        <v>1</v>
      </c>
      <c r="AE5" s="527" t="str">
        <f t="shared" si="7"/>
        <v/>
      </c>
      <c r="AF5" t="str">
        <f t="shared" si="8"/>
        <v>3</v>
      </c>
      <c r="AG5" s="531">
        <f t="shared" si="0"/>
        <v>5</v>
      </c>
      <c r="AH5" t="e">
        <f>SMALL($AG$1:$AG$10,ROW(AG5:AG14))</f>
        <v>#NUM!</v>
      </c>
      <c r="AI5" t="str">
        <f>IFERROR(INDEX($AF$1:$AF$10,AH5:AH14),"")</f>
        <v/>
      </c>
      <c r="AJ5" t="str">
        <v>5.3(选用或开发)针对空间信息领域中的复杂工程问题，能够开发或选用恰当的仿真或设计工具和技术，模拟与预测空间信息领域复杂工程问题的解决方案，并能够分析其局限性。</v>
      </c>
      <c r="AK5" t="str">
        <f t="shared" si="9"/>
        <v>5.3(选用或开发)针对空间信息领域中的复杂工程问题，能够开发或选用恰当的仿真或设计工具和技术，模拟与预测空间信息领域复杂工程问题的解决方案，并能够分析其局限性。</v>
      </c>
    </row>
    <row r="6" ht="27" customHeight="1" spans="1:37">
      <c r="A6" s="471"/>
      <c r="B6" s="472"/>
      <c r="C6" s="474"/>
      <c r="D6" s="474"/>
      <c r="E6" s="474"/>
      <c r="F6" s="474"/>
      <c r="G6" s="474"/>
      <c r="H6" s="474"/>
      <c r="I6" s="488">
        <f t="shared" si="2"/>
        <v>0</v>
      </c>
      <c r="J6" s="246"/>
      <c r="K6" s="246" t="str">
        <f>IF('5、打印达成度'!D9=" "," ",'5、打印达成度'!D9*$H$13/$I$13)</f>
        <v> </v>
      </c>
      <c r="L6" s="246"/>
      <c r="M6" s="486" t="str">
        <f>IF(OR(M7=0,M8=0,M9=0,M10=0,M11=0,M12=0,M13=0),"N","Y")</f>
        <v>Y</v>
      </c>
      <c r="N6" s="246"/>
      <c r="O6" s="246"/>
      <c r="P6" s="486" t="str">
        <f>IF(COUNTIF(P7:P17,1)&gt;=1,"N","Y")</f>
        <v>Y</v>
      </c>
      <c r="Q6" s="246"/>
      <c r="R6" s="246"/>
      <c r="S6" s="246"/>
      <c r="T6" s="503">
        <f t="shared" si="3"/>
        <v>0</v>
      </c>
      <c r="U6" s="498"/>
      <c r="V6" s="505" t="str">
        <f t="shared" si="4"/>
        <v/>
      </c>
      <c r="W6" s="508"/>
      <c r="X6" s="507" t="s">
        <v>48</v>
      </c>
      <c r="Y6" s="526"/>
      <c r="Z6" s="526"/>
      <c r="AA6" s="246"/>
      <c r="AB6" s="246">
        <f t="shared" si="5"/>
        <v>0</v>
      </c>
      <c r="AC6" s="246" t="e">
        <f>IF(ISNUMBER(FIND("18版",$B$1)),VLOOKUP(B6,指标点!$A$38:$B$74,2,FALSE),VLOOKUP(B6,指标点!$A$75:$B$111,2,FALSE))</f>
        <v>#N/A</v>
      </c>
      <c r="AD6" s="246">
        <f t="shared" si="6"/>
        <v>0</v>
      </c>
      <c r="AE6" s="527" t="str">
        <f t="shared" si="7"/>
        <v>×</v>
      </c>
      <c r="AF6" t="str">
        <f t="shared" si="8"/>
        <v/>
      </c>
      <c r="AG6" s="531" t="b">
        <f t="shared" si="0"/>
        <v>0</v>
      </c>
      <c r="AH6" t="e">
        <f>SMALL($AG$1:$AG$10,ROW(AG6:AG15))</f>
        <v>#NUM!</v>
      </c>
      <c r="AI6" t="str">
        <f>IFERROR(INDEX($AF$1:$AF$10,AH6:AH15),"")</f>
        <v/>
      </c>
      <c r="AJ6" t="str">
        <v/>
      </c>
      <c r="AK6" t="str">
        <f t="shared" si="9"/>
        <v/>
      </c>
    </row>
    <row r="7" ht="27" customHeight="1" spans="1:37">
      <c r="A7" s="471"/>
      <c r="B7" s="472"/>
      <c r="C7" s="474"/>
      <c r="D7" s="474"/>
      <c r="E7" s="474"/>
      <c r="F7" s="474"/>
      <c r="G7" s="474"/>
      <c r="H7" s="474"/>
      <c r="I7" s="488">
        <f t="shared" si="2"/>
        <v>0</v>
      </c>
      <c r="J7" s="246"/>
      <c r="K7" s="246" t="str">
        <f>IF('5、打印达成度'!D10=" "," ",'5、打印达成度'!D10*$H$13/$I$13)</f>
        <v> </v>
      </c>
      <c r="L7" s="246"/>
      <c r="M7" s="487">
        <f>IF(A3="",1,COUNTIF($M$3:$S$3,B3))</f>
        <v>1</v>
      </c>
      <c r="N7" s="246">
        <f>IF(A3="",0,1)</f>
        <v>1</v>
      </c>
      <c r="O7" s="246">
        <f>IF(AND(B3&lt;&gt;"",B3&lt;&gt;"下拉列表"),1,0)</f>
        <v>1</v>
      </c>
      <c r="P7" s="489">
        <f>ABS(N7-O7)</f>
        <v>0</v>
      </c>
      <c r="Q7" s="246"/>
      <c r="R7" s="246"/>
      <c r="S7" s="246"/>
      <c r="T7" s="503">
        <f t="shared" si="3"/>
        <v>0</v>
      </c>
      <c r="U7" s="498"/>
      <c r="V7" s="505" t="str">
        <f t="shared" si="4"/>
        <v/>
      </c>
      <c r="W7" s="508"/>
      <c r="X7" s="507" t="s">
        <v>48</v>
      </c>
      <c r="Y7" s="526"/>
      <c r="Z7" s="526"/>
      <c r="AA7" s="246"/>
      <c r="AB7" s="246">
        <f t="shared" si="5"/>
        <v>0</v>
      </c>
      <c r="AC7" s="246" t="e">
        <f>IF(ISNUMBER(FIND("18版",$B$1)),VLOOKUP(B7,指标点!$A$38:$B$74,2,FALSE),VLOOKUP(B7,指标点!$A$75:$B$111,2,FALSE))</f>
        <v>#N/A</v>
      </c>
      <c r="AD7" s="246">
        <f t="shared" si="6"/>
        <v>0</v>
      </c>
      <c r="AE7" s="527" t="str">
        <f t="shared" si="7"/>
        <v>×</v>
      </c>
      <c r="AF7" t="str">
        <f t="shared" si="8"/>
        <v/>
      </c>
      <c r="AG7" s="531" t="b">
        <f>IF(AF7:AF17&lt;&gt;"",ROW(AF7:AF17))</f>
        <v>0</v>
      </c>
      <c r="AH7" t="e">
        <f>SMALL($AG$1:$AG$10,ROW(AG7:AG17))</f>
        <v>#NUM!</v>
      </c>
      <c r="AI7" t="str">
        <f>IFERROR(INDEX($AF$1:$AF$10,AH7:AH17),"")</f>
        <v/>
      </c>
      <c r="AJ7">
        <v>0</v>
      </c>
      <c r="AK7" t="str">
        <f t="shared" si="9"/>
        <v/>
      </c>
    </row>
    <row r="8" ht="27" customHeight="1" spans="1:37">
      <c r="A8" s="471"/>
      <c r="B8" s="472"/>
      <c r="C8" s="474"/>
      <c r="D8" s="474"/>
      <c r="E8" s="474"/>
      <c r="F8" s="474"/>
      <c r="G8" s="474"/>
      <c r="H8" s="474"/>
      <c r="I8" s="488">
        <f t="shared" si="2"/>
        <v>0</v>
      </c>
      <c r="J8" s="246"/>
      <c r="K8" s="246" t="str">
        <f>IF('5、打印达成度'!D11=" "," ",'5、打印达成度'!D11*$H$13/$I$13)</f>
        <v> </v>
      </c>
      <c r="L8" s="246"/>
      <c r="M8" s="487">
        <f t="shared" ref="M8:M16" si="10">IF(A4="",1,COUNTIF($M$3:$S$3,B4))</f>
        <v>1</v>
      </c>
      <c r="N8" s="246">
        <f t="shared" ref="N8:N16" si="11">IF(A4="",0,1)</f>
        <v>1</v>
      </c>
      <c r="O8" s="246">
        <f t="shared" ref="O8:O16" si="12">IF(AND(B4&lt;&gt;"",B4&lt;&gt;"下拉列表"),1,0)</f>
        <v>1</v>
      </c>
      <c r="P8" s="489">
        <f t="shared" ref="P8:P16" si="13">ABS(N8-O8)</f>
        <v>0</v>
      </c>
      <c r="Q8" s="509"/>
      <c r="R8" s="509"/>
      <c r="S8" s="509"/>
      <c r="T8" s="503">
        <f t="shared" si="3"/>
        <v>0</v>
      </c>
      <c r="U8" s="498"/>
      <c r="V8" s="505" t="str">
        <f t="shared" si="4"/>
        <v/>
      </c>
      <c r="W8" s="508"/>
      <c r="X8" s="507" t="s">
        <v>48</v>
      </c>
      <c r="Y8" s="526"/>
      <c r="Z8" s="526"/>
      <c r="AA8" s="246"/>
      <c r="AB8" s="246">
        <f t="shared" si="5"/>
        <v>0</v>
      </c>
      <c r="AC8" s="246" t="e">
        <f>IF(ISNUMBER(FIND("18版",$B$1)),VLOOKUP(B8,指标点!$A$38:$B$74,2,FALSE),VLOOKUP(B8,指标点!$A$75:$B$111,2,FALSE))</f>
        <v>#N/A</v>
      </c>
      <c r="AD8" s="246">
        <f t="shared" si="6"/>
        <v>0</v>
      </c>
      <c r="AE8" s="527" t="str">
        <f t="shared" si="7"/>
        <v>×</v>
      </c>
      <c r="AF8" t="str">
        <f t="shared" si="8"/>
        <v/>
      </c>
      <c r="AG8" s="531" t="b">
        <f>IF(AF8:AF18&lt;&gt;"",ROW(AF8:AF18))</f>
        <v>0</v>
      </c>
      <c r="AH8" t="e">
        <f>SMALL($AG$1:$AG$10,ROW(AG8:AG18))</f>
        <v>#NUM!</v>
      </c>
      <c r="AI8" t="str">
        <f>IFERROR(INDEX($AF$1:$AF$10,AH8:AH18),"")</f>
        <v/>
      </c>
      <c r="AJ8" t="e">
        <v>#N/A</v>
      </c>
      <c r="AK8" t="str">
        <f t="shared" si="9"/>
        <v/>
      </c>
    </row>
    <row r="9" ht="27" customHeight="1" spans="1:37">
      <c r="A9" s="471"/>
      <c r="B9" s="472"/>
      <c r="C9" s="474"/>
      <c r="D9" s="474"/>
      <c r="E9" s="474"/>
      <c r="F9" s="474"/>
      <c r="G9" s="474"/>
      <c r="H9" s="474"/>
      <c r="I9" s="488">
        <f t="shared" si="2"/>
        <v>0</v>
      </c>
      <c r="J9" s="246"/>
      <c r="K9" s="246" t="str">
        <f>IF('5、打印达成度'!D12=" "," ",'5、打印达成度'!D12*$H$13/$I$13)</f>
        <v> </v>
      </c>
      <c r="L9" s="246"/>
      <c r="M9" s="487">
        <f t="shared" si="10"/>
        <v>1</v>
      </c>
      <c r="N9" s="246">
        <f t="shared" si="11"/>
        <v>1</v>
      </c>
      <c r="O9" s="246">
        <f t="shared" si="12"/>
        <v>1</v>
      </c>
      <c r="P9" s="489">
        <f t="shared" si="13"/>
        <v>0</v>
      </c>
      <c r="Q9" s="509"/>
      <c r="R9" s="509"/>
      <c r="S9" s="509"/>
      <c r="T9" s="503">
        <f t="shared" si="3"/>
        <v>0</v>
      </c>
      <c r="U9" s="498"/>
      <c r="V9" s="510" t="str">
        <f t="shared" si="4"/>
        <v/>
      </c>
      <c r="W9" s="508"/>
      <c r="X9" s="511"/>
      <c r="Y9" s="511"/>
      <c r="Z9" s="511"/>
      <c r="AA9" s="246"/>
      <c r="AB9" s="246"/>
      <c r="AC9" s="246" t="e">
        <f>IF(ISNUMBER(FIND("18版",$B$1)),VLOOKUP(B9,指标点!$A$38:$B$74,2,FALSE),VLOOKUP(B9,指标点!$A$75:$B$111,2,FALSE))</f>
        <v>#N/A</v>
      </c>
      <c r="AD9" s="246">
        <f t="shared" si="6"/>
        <v>1</v>
      </c>
      <c r="AE9" s="527" t="str">
        <f t="shared" si="7"/>
        <v/>
      </c>
      <c r="AF9" t="str">
        <f t="shared" si="8"/>
        <v/>
      </c>
      <c r="AG9" s="531" t="b">
        <f>IF(AF9:AF19&lt;&gt;"",ROW(AF9:AF19))</f>
        <v>0</v>
      </c>
      <c r="AH9" t="e">
        <f>SMALL($AG$1:$AG$10,ROW(AG9:AG19))</f>
        <v>#NUM!</v>
      </c>
      <c r="AI9" t="str">
        <f>IFERROR(INDEX($AF$1:$AF$10,AH9:AH19),"")</f>
        <v/>
      </c>
      <c r="AJ9" t="e">
        <v>#N/A</v>
      </c>
      <c r="AK9" t="str">
        <f t="shared" si="9"/>
        <v/>
      </c>
    </row>
    <row r="10" ht="27" customHeight="1" spans="1:37">
      <c r="A10" s="471"/>
      <c r="B10" s="472" t="s">
        <v>46</v>
      </c>
      <c r="C10" s="474"/>
      <c r="D10" s="474"/>
      <c r="E10" s="474"/>
      <c r="F10" s="474"/>
      <c r="G10" s="474"/>
      <c r="H10" s="474"/>
      <c r="I10" s="488">
        <f t="shared" si="2"/>
        <v>0</v>
      </c>
      <c r="J10" s="246"/>
      <c r="K10" s="246"/>
      <c r="L10" s="246"/>
      <c r="M10" s="487">
        <f t="shared" si="10"/>
        <v>1</v>
      </c>
      <c r="N10" s="246">
        <f t="shared" si="11"/>
        <v>0</v>
      </c>
      <c r="O10" s="246">
        <f t="shared" si="12"/>
        <v>0</v>
      </c>
      <c r="P10" s="489">
        <f t="shared" si="13"/>
        <v>0</v>
      </c>
      <c r="Q10" s="246"/>
      <c r="R10" s="246"/>
      <c r="S10" s="246"/>
      <c r="T10" s="503">
        <f t="shared" si="3"/>
        <v>0</v>
      </c>
      <c r="U10" s="498"/>
      <c r="V10" s="512"/>
      <c r="W10" s="508"/>
      <c r="X10" s="513"/>
      <c r="Y10" s="513"/>
      <c r="Z10" s="513"/>
      <c r="AA10" s="246"/>
      <c r="AB10" s="246"/>
      <c r="AC10" s="246"/>
      <c r="AD10" s="246"/>
      <c r="AE10" s="528"/>
      <c r="AF10" t="str">
        <f t="shared" si="8"/>
        <v/>
      </c>
      <c r="AG10" s="531" t="b">
        <f>IF(AF10:AF20&lt;&gt;"",ROW(AF10:AF20))</f>
        <v>0</v>
      </c>
      <c r="AH10" t="e">
        <f>SMALL($AG$1:$AG$10,ROW(AG10:AG20))</f>
        <v>#NUM!</v>
      </c>
      <c r="AI10" t="str">
        <f>IFERROR(INDEX($AF$1:$AF$10,AH10:AH20),"")</f>
        <v/>
      </c>
      <c r="AJ10" t="e">
        <v>#N/A</v>
      </c>
      <c r="AK10" t="str">
        <f t="shared" si="9"/>
        <v/>
      </c>
    </row>
    <row r="11" ht="27" hidden="1" customHeight="1" spans="1:31">
      <c r="A11" s="471"/>
      <c r="B11" s="472" t="s">
        <v>46</v>
      </c>
      <c r="C11" s="474"/>
      <c r="D11" s="474"/>
      <c r="E11" s="474"/>
      <c r="F11" s="474"/>
      <c r="G11" s="474"/>
      <c r="H11" s="474"/>
      <c r="I11" s="488">
        <f t="shared" si="2"/>
        <v>0</v>
      </c>
      <c r="J11" s="246"/>
      <c r="K11" s="246"/>
      <c r="L11" s="246"/>
      <c r="M11" s="487">
        <f t="shared" si="10"/>
        <v>1</v>
      </c>
      <c r="N11" s="246">
        <f t="shared" si="11"/>
        <v>0</v>
      </c>
      <c r="O11" s="246">
        <f t="shared" si="12"/>
        <v>0</v>
      </c>
      <c r="P11" s="489">
        <f t="shared" si="13"/>
        <v>0</v>
      </c>
      <c r="Q11" s="246"/>
      <c r="R11" s="246"/>
      <c r="S11" s="246"/>
      <c r="T11" s="503">
        <f t="shared" si="3"/>
        <v>0</v>
      </c>
      <c r="U11" s="498"/>
      <c r="V11" s="514"/>
      <c r="W11" s="515"/>
      <c r="X11" s="513"/>
      <c r="Y11" s="513"/>
      <c r="Z11" s="513"/>
      <c r="AA11" s="246"/>
      <c r="AB11" s="246"/>
      <c r="AC11" s="246"/>
      <c r="AD11" s="246"/>
      <c r="AE11" s="528"/>
    </row>
    <row r="12" ht="27" hidden="1" customHeight="1" spans="1:31">
      <c r="A12" s="475"/>
      <c r="B12" s="472" t="s">
        <v>46</v>
      </c>
      <c r="C12" s="476"/>
      <c r="D12" s="476"/>
      <c r="E12" s="476"/>
      <c r="F12" s="476"/>
      <c r="G12" s="476"/>
      <c r="H12" s="476"/>
      <c r="I12" s="490">
        <f t="shared" si="2"/>
        <v>0</v>
      </c>
      <c r="J12" s="246"/>
      <c r="K12" s="246">
        <f>IF('5、打印达成度'!D15=" "," ",'5、打印达成度'!D15*$H$13/$I$13)</f>
        <v>0</v>
      </c>
      <c r="L12" s="246"/>
      <c r="M12" s="487">
        <f t="shared" si="10"/>
        <v>1</v>
      </c>
      <c r="N12" s="246">
        <f t="shared" si="11"/>
        <v>0</v>
      </c>
      <c r="O12" s="246">
        <f t="shared" si="12"/>
        <v>0</v>
      </c>
      <c r="P12" s="489">
        <f t="shared" si="13"/>
        <v>0</v>
      </c>
      <c r="Q12" s="246"/>
      <c r="R12" s="246"/>
      <c r="S12" s="246"/>
      <c r="T12" s="516">
        <f t="shared" si="3"/>
        <v>0</v>
      </c>
      <c r="U12" s="517"/>
      <c r="V12" s="518"/>
      <c r="W12" s="519"/>
      <c r="X12" s="520"/>
      <c r="Y12" s="520"/>
      <c r="Z12" s="520"/>
      <c r="AA12" s="246"/>
      <c r="AB12" s="246"/>
      <c r="AC12" s="246"/>
      <c r="AD12" s="246"/>
      <c r="AE12" s="529"/>
    </row>
    <row r="13" ht="27" customHeight="1" spans="1:31">
      <c r="A13" s="477" t="s">
        <v>50</v>
      </c>
      <c r="B13" s="478" t="str">
        <f>IF(M1="N","错误：课程目标未覆盖这门课所有毕业要求",IF(M6="N","错误：有些毕业要求不是这门课的，下拉选择",IF(P6="N","错误：删除无课程目标处的毕业要求",IF(AND(M1="Y",M6="Y"),"正确：毕业要求已全覆盖"))))</f>
        <v>正确：毕业要求已全覆盖</v>
      </c>
      <c r="C13" s="479">
        <f>IF(C2&lt;&gt;"",IF(SUM(C3:C12)&gt;0,SUM(C3:C12),"错误：清空此列内容"),IF(SUM(C3:C12)&gt;0,"清空此列内容",""))</f>
        <v>15</v>
      </c>
      <c r="D13" s="479">
        <f>IF(D2&lt;&gt;"",IF(SUM(D3:D12)&gt;0,SUM(D3:D12),"错误：清空此列内容"),IF(SUM(D3:D12)&gt;0,"清空此列内容",""))</f>
        <v>12</v>
      </c>
      <c r="E13" s="479" t="str">
        <f>IF(E2&lt;&gt;"",IF(SUM(E3:E12)&gt;0,SUM(E3:E12),"错误：清空此列内容"),IF(SUM(E3:E12)&gt;0,"清空此列内容",""))</f>
        <v/>
      </c>
      <c r="F13" s="480" t="str">
        <f>IF(F2&lt;&gt;"",IF(SUM(F3:F12)&gt;0,SUM(F3:F12),"错误：清空此列内容"),IF(SUM(F3:F12)&gt;0,"清空此列内容",""))</f>
        <v/>
      </c>
      <c r="G13" s="480" t="str">
        <f>IF(G2&lt;&gt;"",IF(SUM(G3:G12)&gt;0,SUM(G3:G12),"错误：清空此列内容"),IF(SUM(G3:G12)&gt;0,"清空此列内容",""))</f>
        <v/>
      </c>
      <c r="H13" s="479">
        <f>SUM(H3:H12)</f>
        <v>50</v>
      </c>
      <c r="I13" s="480">
        <f>IF(SUM(I3:I12)=SUM(C13:H13),SUM(C13:H13),"行的和与列的和不等")</f>
        <v>77</v>
      </c>
      <c r="J13" s="491"/>
      <c r="K13" s="491"/>
      <c r="L13" s="491"/>
      <c r="M13" s="491">
        <f t="shared" si="10"/>
        <v>1</v>
      </c>
      <c r="N13" s="491">
        <f t="shared" si="11"/>
        <v>0</v>
      </c>
      <c r="O13" s="491">
        <f t="shared" si="12"/>
        <v>0</v>
      </c>
      <c r="P13" s="492">
        <f t="shared" si="13"/>
        <v>0</v>
      </c>
      <c r="Q13" s="491"/>
      <c r="R13" s="491"/>
      <c r="S13" s="491"/>
      <c r="T13" s="521"/>
      <c r="U13" s="521"/>
      <c r="V13" s="522"/>
      <c r="W13" s="523"/>
      <c r="X13" s="523"/>
      <c r="Y13" s="523"/>
      <c r="Z13" s="523"/>
      <c r="AA13" s="523"/>
      <c r="AB13" s="523"/>
      <c r="AC13" s="523"/>
      <c r="AD13" s="523"/>
      <c r="AE13" s="530"/>
    </row>
    <row r="14" ht="14.75" spans="1:31">
      <c r="A14" s="481" t="s">
        <v>51</v>
      </c>
      <c r="B14" s="481"/>
      <c r="C14" s="481"/>
      <c r="D14" s="481"/>
      <c r="E14" s="481"/>
      <c r="F14" s="481"/>
      <c r="G14" s="481"/>
      <c r="H14" s="481"/>
      <c r="I14" s="493" t="str">
        <f>IF(I13&lt;&gt;100,"错误：满分不是100","-")</f>
        <v>错误：满分不是100</v>
      </c>
      <c r="J14" s="494"/>
      <c r="K14" s="494"/>
      <c r="L14" s="494"/>
      <c r="M14" s="495">
        <f t="shared" si="10"/>
        <v>1</v>
      </c>
      <c r="N14" s="494">
        <f t="shared" si="11"/>
        <v>0</v>
      </c>
      <c r="O14" s="494">
        <f t="shared" si="12"/>
        <v>0</v>
      </c>
      <c r="P14" s="496">
        <f t="shared" si="13"/>
        <v>0</v>
      </c>
      <c r="Q14" s="494"/>
      <c r="R14" s="494"/>
      <c r="S14" s="494"/>
      <c r="T14" s="494"/>
      <c r="U14" s="494"/>
      <c r="V14" s="522"/>
      <c r="W14" s="523"/>
      <c r="X14" s="523"/>
      <c r="Y14" s="523"/>
      <c r="Z14" s="523"/>
      <c r="AA14" s="523"/>
      <c r="AB14" s="523"/>
      <c r="AC14" s="523"/>
      <c r="AD14" s="523"/>
      <c r="AE14" s="530"/>
    </row>
    <row r="15" ht="19" customHeight="1" spans="1:31">
      <c r="A15" s="481"/>
      <c r="B15" s="481"/>
      <c r="C15" s="481"/>
      <c r="D15" s="481"/>
      <c r="E15" s="481"/>
      <c r="F15" s="481"/>
      <c r="G15" s="481"/>
      <c r="H15" s="481"/>
      <c r="I15" s="493"/>
      <c r="J15" s="494"/>
      <c r="K15" s="494"/>
      <c r="L15" s="494"/>
      <c r="M15" s="495">
        <f t="shared" si="10"/>
        <v>1</v>
      </c>
      <c r="N15" s="494">
        <f t="shared" si="11"/>
        <v>0</v>
      </c>
      <c r="O15" s="494">
        <f t="shared" si="12"/>
        <v>0</v>
      </c>
      <c r="P15" s="496">
        <f t="shared" si="13"/>
        <v>0</v>
      </c>
      <c r="Q15" s="494"/>
      <c r="R15" s="494"/>
      <c r="S15" s="494"/>
      <c r="T15" s="494"/>
      <c r="U15" s="494"/>
      <c r="V15" s="522"/>
      <c r="W15" s="523"/>
      <c r="X15" s="523"/>
      <c r="Y15" s="523"/>
      <c r="Z15" s="523"/>
      <c r="AA15" s="523"/>
      <c r="AB15" s="523"/>
      <c r="AC15" s="523"/>
      <c r="AD15" s="523"/>
      <c r="AE15" s="530"/>
    </row>
    <row r="16" ht="19" customHeight="1" spans="1:31">
      <c r="A16" s="482" t="s">
        <v>52</v>
      </c>
      <c r="B16" s="482"/>
      <c r="C16" s="483" t="s">
        <v>53</v>
      </c>
      <c r="D16" s="483"/>
      <c r="E16" s="483"/>
      <c r="F16" s="483"/>
      <c r="G16" s="483"/>
      <c r="H16" s="484"/>
      <c r="I16" s="484"/>
      <c r="J16" s="484"/>
      <c r="K16" s="484"/>
      <c r="L16" s="484"/>
      <c r="M16" s="484"/>
      <c r="N16" s="484"/>
      <c r="O16" s="484"/>
      <c r="P16" s="484"/>
      <c r="Q16" s="484"/>
      <c r="R16" s="484"/>
      <c r="S16" s="484"/>
      <c r="T16" s="484"/>
      <c r="U16" s="484"/>
      <c r="V16" s="484"/>
      <c r="W16" s="484"/>
      <c r="X16" s="523"/>
      <c r="Y16" s="523"/>
      <c r="Z16" s="523"/>
      <c r="AA16" s="523"/>
      <c r="AB16" s="523"/>
      <c r="AC16" s="523"/>
      <c r="AD16" s="523"/>
      <c r="AE16" s="523"/>
    </row>
    <row r="17" spans="1:23">
      <c r="A17" s="485" t="s">
        <v>54</v>
      </c>
      <c r="B17" s="485"/>
      <c r="C17" s="485"/>
      <c r="D17" s="485"/>
      <c r="E17" s="485"/>
      <c r="F17" s="485"/>
      <c r="G17" s="485"/>
      <c r="H17" s="485"/>
      <c r="I17" s="485"/>
      <c r="J17" s="485"/>
      <c r="K17" s="485"/>
      <c r="L17" s="485"/>
      <c r="M17" s="485"/>
      <c r="N17" s="485"/>
      <c r="O17" s="485"/>
      <c r="P17" s="485"/>
      <c r="Q17" s="485"/>
      <c r="R17" s="485"/>
      <c r="S17" s="485"/>
      <c r="T17" s="485"/>
      <c r="U17" s="485"/>
      <c r="V17" s="485"/>
      <c r="W17" s="485"/>
    </row>
    <row r="18" spans="1:23">
      <c r="A18" s="485"/>
      <c r="B18" s="485"/>
      <c r="C18" s="485"/>
      <c r="D18" s="485"/>
      <c r="E18" s="485"/>
      <c r="F18" s="485"/>
      <c r="G18" s="485"/>
      <c r="H18" s="485"/>
      <c r="I18" s="485"/>
      <c r="J18" s="485"/>
      <c r="K18" s="485"/>
      <c r="L18" s="485"/>
      <c r="M18" s="485"/>
      <c r="N18" s="485"/>
      <c r="O18" s="485"/>
      <c r="P18" s="485"/>
      <c r="Q18" s="485"/>
      <c r="R18" s="485"/>
      <c r="S18" s="485"/>
      <c r="T18" s="485"/>
      <c r="U18" s="485"/>
      <c r="V18" s="485"/>
      <c r="W18" s="485"/>
    </row>
    <row r="19" spans="7:9">
      <c r="G19" s="430"/>
      <c r="H19" s="430"/>
      <c r="I19" s="430"/>
    </row>
  </sheetData>
  <sheetProtection password="DE0E" sheet="1" selectLockedCells="1" objects="1"/>
  <protectedRanges>
    <protectedRange sqref="A6 A3 C6:H6 A4 A5 C7:H7 C8:H8 A9:H12 A7 A8 A7 A8 A5 A6 A7 A8 A8 A8 A8" name="区域4"/>
    <protectedRange sqref="C2:H2" name="区域3"/>
    <protectedRange sqref="D1 B3 B4 B5 B6 B7 B8" name="区域2"/>
    <protectedRange sqref="B1" name="区域1"/>
    <protectedRange sqref="C3:H5" name="区域4_1"/>
    <protectedRange sqref="B1 A3:I6 B7:I7 A7 B8:I8 A9:I12 A8 A7 A8 A5 A6 A7 A8 A8 A8 A8" name="区域6" securityDescriptor="O:WDG:WDD:"/>
  </protectedRanges>
  <mergeCells count="22">
    <mergeCell ref="E1:I1"/>
    <mergeCell ref="X3:Z3"/>
    <mergeCell ref="X4:Z4"/>
    <mergeCell ref="X5:Z5"/>
    <mergeCell ref="X6:Z6"/>
    <mergeCell ref="X7:Z7"/>
    <mergeCell ref="X8:Z8"/>
    <mergeCell ref="X9:Z9"/>
    <mergeCell ref="X10:Z10"/>
    <mergeCell ref="X11:Z11"/>
    <mergeCell ref="X12:Z12"/>
    <mergeCell ref="A16:B16"/>
    <mergeCell ref="C16:G16"/>
    <mergeCell ref="I14:I15"/>
    <mergeCell ref="V1:V2"/>
    <mergeCell ref="W1:W2"/>
    <mergeCell ref="W3:W10"/>
    <mergeCell ref="AE1:AE2"/>
    <mergeCell ref="A14:H15"/>
    <mergeCell ref="X1:Z2"/>
    <mergeCell ref="V13:AE15"/>
    <mergeCell ref="A17:W18"/>
  </mergeCells>
  <conditionalFormatting sqref="V13">
    <cfRule type="cellIs" dxfId="0" priority="1" operator="equal">
      <formula>#REF!</formula>
    </cfRule>
  </conditionalFormatting>
  <dataValidations count="7">
    <dataValidation type="list" allowBlank="1" showInputMessage="1" showErrorMessage="1" prompt="该单元格请选择下拉菜单中的内容" sqref="H2">
      <formula1>"期末考试,大论文,大作业"</formula1>
    </dataValidation>
    <dataValidation type="list" allowBlank="1" showInputMessage="1" showErrorMessage="1" sqref="B1">
      <formula1>数据源1!$A$2:$A$120</formula1>
    </dataValidation>
    <dataValidation allowBlank="1" showInputMessage="1" showErrorMessage="1" sqref="A2"/>
    <dataValidation type="list" allowBlank="1" showInputMessage="1" showErrorMessage="1" sqref="J3">
      <formula1>$L$3:$N$3</formula1>
    </dataValidation>
    <dataValidation allowBlank="1" showInputMessage="1" showErrorMessage="1" prompt="如没有该项内容，请清空该单元格" sqref="C2:G2"/>
    <dataValidation allowBlank="1" showInputMessage="1" showErrorMessage="1" promptTitle="课程名称" prompt="1&#10;2" sqref="J4"/>
    <dataValidation type="list" allowBlank="1" showInputMessage="1" sqref="B3:B6 B7:B8 B9:B12">
      <formula1>$L$3:$S$3</formula1>
    </dataValidation>
  </dataValidations>
  <hyperlinks>
    <hyperlink ref="A16:B16" r:id="rId3" display="空间专业18版大纲下载"/>
    <hyperlink ref="C16:G16" r:id="rId4" display="试卷归档4件套下载"/>
  </hyperlinks>
  <pageMargins left="0.699305555555556" right="0.699305555555556" top="0.75" bottom="0.75" header="0.3" footer="0.3"/>
  <pageSetup paperSize="9" orientation="portrait"/>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I11"/>
  <sheetViews>
    <sheetView workbookViewId="0">
      <selection activeCell="H13" sqref="H13"/>
    </sheetView>
  </sheetViews>
  <sheetFormatPr defaultColWidth="8.66666666666667" defaultRowHeight="14"/>
  <cols>
    <col min="1" max="1" width="8.66666666666667" style="1"/>
    <col min="2" max="2" width="9.66666666666667" style="1" customWidth="1"/>
    <col min="3" max="8" width="8.66666666666667" style="1"/>
    <col min="9" max="9" width="10.8833333333333" style="1" customWidth="1"/>
    <col min="10" max="16384" width="8.66666666666667" style="1"/>
  </cols>
  <sheetData>
    <row r="1" ht="14.75" spans="1:9">
      <c r="A1" s="2" t="str">
        <f>IF(ISBLANK('1、课程目标与考核方式'!B2)," ",'1、课程目标与考核方式'!B2)</f>
        <v>毕业要求</v>
      </c>
      <c r="B1" s="2" t="str">
        <f>IF(ISBLANK('1、课程目标与考核方式'!A2)," ",'1、课程目标与考核方式'!A2)</f>
        <v>课程目标</v>
      </c>
      <c r="C1" s="2" t="str">
        <f>IF(ISBLANK('1、课程目标与考核方式'!C2)," ",'1、课程目标与考核方式'!C2)</f>
        <v>平时作业</v>
      </c>
      <c r="D1" s="2">
        <f>IF(ISBLANK('1、课程目标与考核方式'!D2)," ",'1、课程目标与考核方式'!D2)</f>
        <v>1</v>
      </c>
      <c r="E1" s="2" t="str">
        <f>IF(ISBLANK('1、课程目标与考核方式'!E2)," ",'1、课程目标与考核方式'!E2)</f>
        <v> </v>
      </c>
      <c r="F1" s="2" t="str">
        <f>IF(ISBLANK('1、课程目标与考核方式'!F2)," ",'1、课程目标与考核方式'!F2)</f>
        <v> </v>
      </c>
      <c r="G1" s="2" t="str">
        <f>IF(ISBLANK('1、课程目标与考核方式'!G2)," ",'1、课程目标与考核方式'!G2)</f>
        <v> </v>
      </c>
      <c r="H1" s="3" t="s">
        <v>308</v>
      </c>
      <c r="I1" s="2" t="str">
        <f>IF(ISBLANK('1、课程目标与考核方式'!H2)," ",'1、课程目标与考核方式'!H2)</f>
        <v>期末考试</v>
      </c>
    </row>
    <row r="2" ht="14.75" spans="1:9">
      <c r="A2" s="2">
        <f>IF(ISBLANK('1、课程目标与考核方式'!B3)," ",'1、课程目标与考核方式'!B3)</f>
        <v>2.3</v>
      </c>
      <c r="B2" s="2" t="str">
        <f>IF(ISBLANK('1、课程目标与考核方式'!A3)," ",'1、课程目标与考核方式'!A3)</f>
        <v>课程目标1</v>
      </c>
      <c r="C2" s="2" t="str">
        <f ca="1">IF(OR(A2=" ",$C$1=" "),"0",LEFT('5、打印达成度'!C19,FIND("(",'5、打印达成度'!C19)-1))</f>
        <v>5.37</v>
      </c>
      <c r="D2" s="2" t="str">
        <f ca="1">IF(OR(A2=" ",$D$1=" "),"0",LEFT('5、打印达成度'!D19,FIND("(",'5、打印达成度'!D19)-1))</f>
        <v>4.2</v>
      </c>
      <c r="E2" s="2" t="str">
        <f>IF(OR(A2=" ",$E$1=" "),"0",LEFT('5、打印达成度'!E19,FIND("(",'5、打印达成度'!E19)-1))</f>
        <v>0</v>
      </c>
      <c r="F2" s="2" t="str">
        <f>IF(OR(A2=" ",$F$1=" "),"0",LEFT('5、打印达成度'!F19,FIND("(",'5、打印达成度'!F19)-1))</f>
        <v>0</v>
      </c>
      <c r="G2" s="2" t="str">
        <f>IF(OR(A2=" ",$G$1=" "),"0",LEFT('5、打印达成度'!G19,FIND("(",'5、打印达成度'!G19)-1))</f>
        <v>0</v>
      </c>
      <c r="H2" s="2">
        <f ca="1">C2+D2+E2+F2+G2</f>
        <v>9.57</v>
      </c>
      <c r="I2" s="2">
        <f ca="1">IF(A2=" ","0",'5、打印达成度'!E6)</f>
        <v>0</v>
      </c>
    </row>
    <row r="3" ht="14.75" spans="1:9">
      <c r="A3" s="2">
        <f>IF(ISBLANK('1、课程目标与考核方式'!B4)," ",'1、课程目标与考核方式'!B4)</f>
        <v>3.4</v>
      </c>
      <c r="B3" s="2" t="str">
        <f>IF(ISBLANK('1、课程目标与考核方式'!A4)," ",'1、课程目标与考核方式'!A4)</f>
        <v>课程目标2</v>
      </c>
      <c r="C3" s="2" t="str">
        <f ca="1">IF(OR(A3=" ",$C$1=" "),"0",LEFT('5、打印达成度'!C20,FIND("(",'5、打印达成度'!C20)-1))</f>
        <v>5.37</v>
      </c>
      <c r="D3" s="2" t="str">
        <f ca="1">IF(OR(A3=" ",$D$1=" "),"0",LEFT('5、打印达成度'!D20,FIND("(",'5、打印达成度'!D20)-1))</f>
        <v>4.2</v>
      </c>
      <c r="E3" s="2" t="str">
        <f>IF(OR(A3=" ",$E$1=" "),"0",LEFT('5、打印达成度'!E20,FIND("(",'5、打印达成度'!E20)-1))</f>
        <v>0</v>
      </c>
      <c r="F3" s="2" t="str">
        <f>IF(OR(A3=" ",$F$1=" "),"0",LEFT('5、打印达成度'!F20,FIND("(",'5、打印达成度'!F20)-1))</f>
        <v>0</v>
      </c>
      <c r="G3" s="2" t="str">
        <f>IF(OR(A3=" ",$G$1=" "),"0",LEFT('5、打印达成度'!G20,FIND("(",'5、打印达成度'!G20)-1))</f>
        <v>0</v>
      </c>
      <c r="H3" s="2">
        <f ca="1" t="shared" ref="H3" si="0">C3+D3+E3+F3+G3</f>
        <v>9.57</v>
      </c>
      <c r="I3" s="2">
        <f ca="1">IF(A3=" ","0",'5、打印达成度'!E7)</f>
        <v>38</v>
      </c>
    </row>
    <row r="4" ht="14.75" spans="1:9">
      <c r="A4" s="2">
        <f>IF(ISBLANK('1、课程目标与考核方式'!B5)," ",'1、课程目标与考核方式'!B5)</f>
        <v>5.3</v>
      </c>
      <c r="B4" s="2" t="str">
        <f>IF(ISBLANK('1、课程目标与考核方式'!A5)," ",'1、课程目标与考核方式'!A5)</f>
        <v>课程目标3</v>
      </c>
      <c r="C4" s="2" t="str">
        <f ca="1">IF(OR(A4=" ",$C$1=" "),"0",LEFT('5、打印达成度'!C21,FIND("(",'5、打印达成度'!C21)-1))</f>
        <v>5.37</v>
      </c>
      <c r="D4" s="2" t="str">
        <f ca="1">IF(OR(A4=" ",$D$1=" "),"0",LEFT('5、打印达成度'!D21,FIND("(",'5、打印达成度'!D21)-1))</f>
        <v>4.2</v>
      </c>
      <c r="E4" s="2" t="str">
        <f>IF(OR(A4=" ",$E$1=" "),"0",LEFT('5、打印达成度'!E21,FIND("(",'5、打印达成度'!E21)-1))</f>
        <v>0</v>
      </c>
      <c r="F4" s="2" t="str">
        <f>IF(OR(A4=" ",$F$1=" "),"0",LEFT('5、打印达成度'!F21,FIND("(",'5、打印达成度'!F21)-1))</f>
        <v>0</v>
      </c>
      <c r="G4" s="2" t="str">
        <f>IF(OR(A4=" ",$G$1=" "),"0",LEFT('5、打印达成度'!G21,FIND("(",'5、打印达成度'!G21)-1))</f>
        <v>0</v>
      </c>
      <c r="H4" s="2">
        <f ca="1" t="shared" ref="H4" si="1">C4+D4+E4+F4+G4</f>
        <v>9.57</v>
      </c>
      <c r="I4" s="2">
        <f ca="1">IF(A4=" ","0",'5、打印达成度'!E8)</f>
        <v>38</v>
      </c>
    </row>
    <row r="5" ht="14.75" spans="1:9">
      <c r="A5" s="2" t="str">
        <f>IF(ISBLANK('1、课程目标与考核方式'!B6)," ",'1、课程目标与考核方式'!B6)</f>
        <v> </v>
      </c>
      <c r="B5" s="2" t="str">
        <f>IF(ISBLANK('1、课程目标与考核方式'!A6)," ",'1、课程目标与考核方式'!A6)</f>
        <v> </v>
      </c>
      <c r="C5" s="2" t="str">
        <f ca="1">IF(OR(A5=" ",$C$1=" "),"0",LEFT('5、打印达成度'!C22,FIND("(",'5、打印达成度'!C22)-1))</f>
        <v>0</v>
      </c>
      <c r="D5" s="2" t="str">
        <f ca="1">IF(OR(A5=" ",$D$1=" "),"0",LEFT('5、打印达成度'!D22,FIND("(",'5、打印达成度'!D22)-1))</f>
        <v>0</v>
      </c>
      <c r="E5" s="2" t="str">
        <f>IF(OR(A5=" ",$E$1=" "),"0",LEFT('5、打印达成度'!E22,FIND("(",'5、打印达成度'!E22)-1))</f>
        <v>0</v>
      </c>
      <c r="F5" s="2" t="str">
        <f>IF(OR(A5=" ",$F$1=" "),"0",LEFT('5、打印达成度'!F22,FIND("(",'5、打印达成度'!F22)-1))</f>
        <v>0</v>
      </c>
      <c r="G5" s="2" t="str">
        <f>IF(OR(A5=" ",$G$1=" "),"0",LEFT('5、打印达成度'!G22,FIND("(",'5、打印达成度'!G22)-1))</f>
        <v>0</v>
      </c>
      <c r="H5" s="2">
        <f ca="1" t="shared" ref="H5" si="2">C5+D5+E5+F5+G5</f>
        <v>0</v>
      </c>
      <c r="I5" s="2" t="str">
        <f ca="1">IF(A5=" ","0",'5、打印达成度'!E9)</f>
        <v>0</v>
      </c>
    </row>
    <row r="6" ht="14.75" spans="1:9">
      <c r="A6" s="2" t="str">
        <f>IF(ISBLANK('1、课程目标与考核方式'!B7)," ",'1、课程目标与考核方式'!B7)</f>
        <v> </v>
      </c>
      <c r="B6" s="2" t="str">
        <f>IF(ISBLANK('1、课程目标与考核方式'!A7)," ",'1、课程目标与考核方式'!A7)</f>
        <v> </v>
      </c>
      <c r="C6" s="2" t="str">
        <f ca="1">IF(OR(A6=" ",$C$1=" "),"0",LEFT('5、打印达成度'!C23,FIND("(",'5、打印达成度'!C23)-1))</f>
        <v>0</v>
      </c>
      <c r="D6" s="2" t="str">
        <f ca="1">IF(OR(A6=" ",$D$1=" "),"0",LEFT('5、打印达成度'!D23,FIND("(",'5、打印达成度'!D23)-1))</f>
        <v>0</v>
      </c>
      <c r="E6" s="2" t="str">
        <f>IF(OR(A6=" ",$E$1=" "),"0",LEFT('5、打印达成度'!E23,FIND("(",'5、打印达成度'!E23)-1))</f>
        <v>0</v>
      </c>
      <c r="F6" s="2" t="str">
        <f>IF(OR(A6=" ",$F$1=" "),"0",LEFT('5、打印达成度'!F23,FIND("(",'5、打印达成度'!F23)-1))</f>
        <v>0</v>
      </c>
      <c r="G6" s="2" t="str">
        <f>IF(OR(A6=" ",$G$1=" "),"0",LEFT('5、打印达成度'!G23,FIND("(",'5、打印达成度'!G23)-1))</f>
        <v>0</v>
      </c>
      <c r="H6" s="2">
        <f ca="1" t="shared" ref="H6:H11" si="3">C6+D6+E6+F6+G6</f>
        <v>0</v>
      </c>
      <c r="I6" s="2" t="str">
        <f ca="1">IF(A6=" ","0",'5、打印达成度'!E10)</f>
        <v>0</v>
      </c>
    </row>
    <row r="7" ht="14.75" spans="1:9">
      <c r="A7" s="2" t="str">
        <f>IF(ISBLANK('1、课程目标与考核方式'!B8)," ",'1、课程目标与考核方式'!B8)</f>
        <v> </v>
      </c>
      <c r="B7" s="2" t="str">
        <f>IF(ISBLANK('1、课程目标与考核方式'!A8)," ",'1、课程目标与考核方式'!A8)</f>
        <v> </v>
      </c>
      <c r="C7" s="2" t="str">
        <f ca="1">IF(OR(A7=" ",$C$1=" "),"0",LEFT('5、打印达成度'!C24,FIND("(",'5、打印达成度'!C24)-1))</f>
        <v>0</v>
      </c>
      <c r="D7" s="2" t="str">
        <f ca="1">IF(OR(A7=" ",$D$1=" "),"0",LEFT('5、打印达成度'!D24,FIND("(",'5、打印达成度'!D24)-1))</f>
        <v>0</v>
      </c>
      <c r="E7" s="2" t="str">
        <f>IF(OR(A7=" ",$E$1=" "),"0",LEFT('5、打印达成度'!E24,FIND("(",'5、打印达成度'!E24)-1))</f>
        <v>0</v>
      </c>
      <c r="F7" s="2" t="str">
        <f>IF(OR(A7=" ",$F$1=" "),"0",LEFT('5、打印达成度'!F24,FIND("(",'5、打印达成度'!F24)-1))</f>
        <v>0</v>
      </c>
      <c r="G7" s="2" t="str">
        <f>IF(OR(A7=" ",$G$1=" "),"0",LEFT('5、打印达成度'!G24,FIND("(",'5、打印达成度'!G24)-1))</f>
        <v>0</v>
      </c>
      <c r="H7" s="2">
        <f ca="1" t="shared" si="3"/>
        <v>0</v>
      </c>
      <c r="I7" s="2" t="str">
        <f ca="1">IF(A7=" ","0",'5、打印达成度'!E11)</f>
        <v>0</v>
      </c>
    </row>
    <row r="8" ht="14.75" spans="1:9">
      <c r="A8" s="2" t="str">
        <f>IF(ISBLANK('1、课程目标与考核方式'!B9)," ",'1、课程目标与考核方式'!B9)</f>
        <v> </v>
      </c>
      <c r="B8" s="2" t="str">
        <f>IF(ISBLANK('1、课程目标与考核方式'!A9)," ",'1、课程目标与考核方式'!A9)</f>
        <v> </v>
      </c>
      <c r="C8" s="2" t="str">
        <f ca="1">IF(OR(A8=" ",$C$1=" "),"0",LEFT('5、打印达成度'!C25,FIND("(",'5、打印达成度'!C25)-1))</f>
        <v>0</v>
      </c>
      <c r="D8" s="2" t="str">
        <f ca="1">IF(OR(A8=" ",$D$1=" "),"0",LEFT('5、打印达成度'!D25,FIND("(",'5、打印达成度'!D25)-1))</f>
        <v>0</v>
      </c>
      <c r="E8" s="2" t="str">
        <f>IF(OR(A8=" ",$E$1=" "),"0",LEFT('5、打印达成度'!E25,FIND("(",'5、打印达成度'!E25)-1))</f>
        <v>0</v>
      </c>
      <c r="F8" s="2" t="str">
        <f>IF(OR(A8=" ",$F$1=" "),"0",LEFT('5、打印达成度'!F25,FIND("(",'5、打印达成度'!F25)-1))</f>
        <v>0</v>
      </c>
      <c r="G8" s="2" t="str">
        <f>IF(OR(A8=" ",$G$1=" "),"0",LEFT('5、打印达成度'!G25,FIND("(",'5、打印达成度'!G25)-1))</f>
        <v>0</v>
      </c>
      <c r="H8" s="2">
        <f ca="1" t="shared" si="3"/>
        <v>0</v>
      </c>
      <c r="I8" s="2" t="str">
        <f ca="1">IF(A8=" ","0",'5、打印达成度'!E12)</f>
        <v>0</v>
      </c>
    </row>
    <row r="9" ht="14.75" spans="1:9">
      <c r="A9" s="2" t="e">
        <f>IF(ISBLANK('1、课程目标与考核方式'!#REF!)," ",'1、课程目标与考核方式'!#REF!)</f>
        <v>#REF!</v>
      </c>
      <c r="B9" s="2" t="e">
        <f>IF(ISBLANK('1、课程目标与考核方式'!#REF!)," ",'1、课程目标与考核方式'!#REF!)</f>
        <v>#REF!</v>
      </c>
      <c r="C9" s="2" t="e">
        <f ca="1">IF(OR(A9=" ",$C$1=" "),"0",LEFT('5、打印达成度'!C26,FIND("(",'5、打印达成度'!C26)-1))</f>
        <v>#REF!</v>
      </c>
      <c r="D9" s="2" t="e">
        <f ca="1">IF(OR(A9=" ",$D$1=" "),"0",LEFT('5、打印达成度'!D26,FIND("(",'5、打印达成度'!D26)-1))</f>
        <v>#REF!</v>
      </c>
      <c r="E9" s="2" t="e">
        <f>IF(OR(A9=" ",$E$1=" "),"0",LEFT('5、打印达成度'!E26,FIND("(",'5、打印达成度'!E26)-1))</f>
        <v>#REF!</v>
      </c>
      <c r="F9" s="2" t="e">
        <f>IF(OR(A9=" ",$F$1=" "),"0",LEFT('5、打印达成度'!F26,FIND("(",'5、打印达成度'!F26)-1))</f>
        <v>#REF!</v>
      </c>
      <c r="G9" s="2" t="e">
        <f>IF(OR(A9=" ",$G$1=" "),"0",LEFT('5、打印达成度'!G26,FIND("(",'5、打印达成度'!G26)-1))</f>
        <v>#REF!</v>
      </c>
      <c r="H9" s="2" t="e">
        <f ca="1" t="shared" si="3"/>
        <v>#REF!</v>
      </c>
      <c r="I9" s="2" t="e">
        <f ca="1">IF(A9=" ","0",'5、打印达成度'!E13)</f>
        <v>#REF!</v>
      </c>
    </row>
    <row r="10" ht="14.75" spans="1:9">
      <c r="A10" s="2" t="e">
        <f>IF(ISBLANK('1、课程目标与考核方式'!#REF!)," ",'1、课程目标与考核方式'!#REF!)</f>
        <v>#REF!</v>
      </c>
      <c r="B10" s="2" t="e">
        <f>IF(ISBLANK('1、课程目标与考核方式'!#REF!)," ",'1、课程目标与考核方式'!#REF!)</f>
        <v>#REF!</v>
      </c>
      <c r="C10" s="2" t="e">
        <f ca="1">IF(OR(A10=" ",$C$1=" "),"0",LEFT('5、打印达成度'!C27,FIND("(",'5、打印达成度'!C27)-1))</f>
        <v>#REF!</v>
      </c>
      <c r="D10" s="2" t="e">
        <f ca="1">IF(OR(A10=" ",$D$1=" "),"0",LEFT('5、打印达成度'!D27,FIND("(",'5、打印达成度'!D27)-1))</f>
        <v>#REF!</v>
      </c>
      <c r="E10" s="2" t="e">
        <f>IF(OR(A10=" ",$E$1=" "),"0",LEFT('5、打印达成度'!E27,FIND("(",'5、打印达成度'!E27)-1))</f>
        <v>#REF!</v>
      </c>
      <c r="F10" s="2" t="e">
        <f>IF(OR(A10=" ",$F$1=" "),"0",LEFT('5、打印达成度'!F27,FIND("(",'5、打印达成度'!F27)-1))</f>
        <v>#REF!</v>
      </c>
      <c r="G10" s="2" t="e">
        <f>IF(OR(A10=" ",$G$1=" "),"0",LEFT('5、打印达成度'!G27,FIND("(",'5、打印达成度'!G27)-1))</f>
        <v>#REF!</v>
      </c>
      <c r="H10" s="2" t="e">
        <f ca="1" t="shared" si="3"/>
        <v>#REF!</v>
      </c>
      <c r="I10" s="2" t="e">
        <f ca="1">IF(A10=" ","0",'5、打印达成度'!E14)</f>
        <v>#REF!</v>
      </c>
    </row>
    <row r="11" ht="14.75" spans="1:9">
      <c r="A11" s="2" t="str">
        <f>IF(ISBLANK('1、课程目标与考核方式'!B12)," ",'1、课程目标与考核方式'!B12)</f>
        <v>下拉列表</v>
      </c>
      <c r="B11" s="2" t="str">
        <f>IF(ISBLANK('1、课程目标与考核方式'!A12)," ",'1、课程目标与考核方式'!A12)</f>
        <v> </v>
      </c>
      <c r="C11" s="2" t="e">
        <f>IF(OR(A11=" ",$C$1=" "),"0",LEFT('5、打印达成度'!#REF!,FIND("(",'5、打印达成度'!#REF!)-1))</f>
        <v>#REF!</v>
      </c>
      <c r="D11" s="2" t="e">
        <f>IF(OR(A11=" ",$D$1=" "),"0",LEFT('5、打印达成度'!#REF!,FIND("(",'5、打印达成度'!#REF!)-1))</f>
        <v>#REF!</v>
      </c>
      <c r="E11" s="2" t="str">
        <f>IF(OR(A11=" ",$E$1=" "),"0",LEFT('5、打印达成度'!#REF!,FIND("(",'5、打印达成度'!#REF!)-1))</f>
        <v>0</v>
      </c>
      <c r="F11" s="2" t="str">
        <f>IF(OR(A11=" ",$F$1=" "),"0",LEFT('5、打印达成度'!#REF!,FIND("(",'5、打印达成度'!#REF!)-1))</f>
        <v>0</v>
      </c>
      <c r="G11" s="2" t="str">
        <f>IF(OR(A11=" ",$G$1=" "),"0",LEFT('5、打印达成度'!#REF!,FIND("(",'5、打印达成度'!#REF!)-1))</f>
        <v>0</v>
      </c>
      <c r="H11" s="2" t="e">
        <f t="shared" si="3"/>
        <v>#REF!</v>
      </c>
      <c r="I11" s="2">
        <f ca="1">IF(A11=" ","0",'5、打印达成度'!E15)</f>
        <v>0</v>
      </c>
    </row>
  </sheetData>
  <sheetProtection password="C71F" sheet="1" formatCells="0" insertRows="0" insertColumns="0" insertHyperlinks="0" deleteColumns="0" deleteRows="0" objects="1" scenarios="1"/>
  <pageMargins left="0.699305555555556" right="0.69930555555555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92D050"/>
  </sheetPr>
  <dimension ref="A1:F14"/>
  <sheetViews>
    <sheetView workbookViewId="0">
      <selection activeCell="B7" sqref="B7"/>
    </sheetView>
  </sheetViews>
  <sheetFormatPr defaultColWidth="9" defaultRowHeight="14" outlineLevelCol="5"/>
  <cols>
    <col min="1" max="16384" width="9" style="246"/>
  </cols>
  <sheetData>
    <row r="1" spans="1:3">
      <c r="A1" s="424" t="s">
        <v>55</v>
      </c>
      <c r="B1" s="462" t="s">
        <v>56</v>
      </c>
      <c r="C1" s="463"/>
    </row>
    <row r="2" spans="1:3">
      <c r="A2" s="449" t="s">
        <v>57</v>
      </c>
      <c r="B2" s="464">
        <v>3</v>
      </c>
      <c r="C2" s="449" t="s">
        <v>58</v>
      </c>
    </row>
    <row r="3" spans="1:3">
      <c r="A3" s="449" t="s">
        <v>59</v>
      </c>
      <c r="B3" s="464">
        <v>2</v>
      </c>
      <c r="C3" s="449" t="s">
        <v>58</v>
      </c>
    </row>
    <row r="4" spans="1:3">
      <c r="A4" s="449" t="s">
        <v>60</v>
      </c>
      <c r="B4" s="464"/>
      <c r="C4" s="449" t="s">
        <v>58</v>
      </c>
    </row>
    <row r="5" spans="1:3">
      <c r="A5" s="449" t="s">
        <v>61</v>
      </c>
      <c r="B5" s="464"/>
      <c r="C5" s="449" t="s">
        <v>58</v>
      </c>
    </row>
    <row r="6" spans="1:3">
      <c r="A6" s="449" t="s">
        <v>62</v>
      </c>
      <c r="B6" s="464"/>
      <c r="C6" s="449" t="s">
        <v>58</v>
      </c>
    </row>
    <row r="7" spans="1:3">
      <c r="A7" s="449" t="s">
        <v>63</v>
      </c>
      <c r="B7" s="464"/>
      <c r="C7" s="449" t="s">
        <v>58</v>
      </c>
    </row>
    <row r="8" spans="1:6">
      <c r="A8" s="449" t="s">
        <v>64</v>
      </c>
      <c r="B8" s="464"/>
      <c r="C8" s="449" t="s">
        <v>58</v>
      </c>
      <c r="F8" s="246" t="s">
        <v>65</v>
      </c>
    </row>
    <row r="9" spans="1:3">
      <c r="A9" s="449" t="s">
        <v>66</v>
      </c>
      <c r="B9" s="464"/>
      <c r="C9" s="449" t="s">
        <v>58</v>
      </c>
    </row>
    <row r="10" spans="1:3">
      <c r="A10" s="449" t="s">
        <v>67</v>
      </c>
      <c r="B10" s="464"/>
      <c r="C10" s="449" t="s">
        <v>58</v>
      </c>
    </row>
    <row r="11" spans="1:3">
      <c r="A11" s="449" t="s">
        <v>68</v>
      </c>
      <c r="B11" s="464"/>
      <c r="C11" s="449" t="s">
        <v>58</v>
      </c>
    </row>
    <row r="12" spans="1:6">
      <c r="A12" s="449" t="s">
        <v>69</v>
      </c>
      <c r="B12" s="449">
        <f>SUM(B2:B11)</f>
        <v>5</v>
      </c>
      <c r="C12" s="449" t="s">
        <v>58</v>
      </c>
      <c r="F12" s="246" t="s">
        <v>70</v>
      </c>
    </row>
    <row r="14" spans="1:3">
      <c r="A14" s="456" t="s">
        <v>71</v>
      </c>
      <c r="B14" s="456"/>
      <c r="C14" s="456"/>
    </row>
  </sheetData>
  <sheetProtection password="DE0E" sheet="1" selectLockedCells="1" objects="1"/>
  <protectedRanges>
    <protectedRange sqref="B7:B11" name="期末试卷试题分布表"/>
    <protectedRange sqref="B5:B6" name="期末试卷试题分布表_1"/>
    <protectedRange sqref="B2:B4" name="期末试卷试题分布表_1_1"/>
  </protectedRanges>
  <mergeCells count="2">
    <mergeCell ref="B1:C1"/>
    <mergeCell ref="A14:C14"/>
  </mergeCells>
  <dataValidations count="1">
    <dataValidation type="list" allowBlank="1" showInputMessage="1" showErrorMessage="1" sqref="B1:C1">
      <formula1>"18级,19级,20级,21级,22级,23级,24级"</formula1>
    </dataValidation>
  </dataValidations>
  <pageMargins left="0.699305555555556" right="0.699305555555556" top="0.75" bottom="0.75" header="0.3" footer="0.3"/>
  <pageSetup paperSize="9" orientation="portrait"/>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92D050"/>
  </sheetPr>
  <dimension ref="A1:M82"/>
  <sheetViews>
    <sheetView workbookViewId="0">
      <selection activeCell="C6" sqref="C6"/>
    </sheetView>
  </sheetViews>
  <sheetFormatPr defaultColWidth="9" defaultRowHeight="14"/>
  <cols>
    <col min="1" max="1" width="9" style="420"/>
    <col min="2" max="3" width="9" style="422"/>
    <col min="4" max="4" width="9" style="420" hidden="1" customWidth="1"/>
    <col min="5" max="12" width="9" style="420"/>
    <col min="13" max="13" width="9" style="448"/>
    <col min="14" max="16384" width="9" style="246"/>
  </cols>
  <sheetData>
    <row r="1" spans="1:4">
      <c r="A1" s="449"/>
      <c r="B1" s="449" t="s">
        <v>39</v>
      </c>
      <c r="C1" s="449" t="s">
        <v>72</v>
      </c>
      <c r="D1" s="450"/>
    </row>
    <row r="2" spans="1:13">
      <c r="A2" s="449" t="s">
        <v>73</v>
      </c>
      <c r="B2" s="451" t="s">
        <v>74</v>
      </c>
      <c r="C2" s="452">
        <v>20</v>
      </c>
      <c r="D2" s="453" t="str">
        <f>LOOKUP(B2,'1、课程目标与考核方式'!$AF$3:$AF$9)</f>
        <v/>
      </c>
      <c r="E2" s="454">
        <v>1</v>
      </c>
      <c r="G2" s="455" t="s">
        <v>75</v>
      </c>
      <c r="H2" s="455"/>
      <c r="I2" s="455"/>
      <c r="J2" s="455"/>
      <c r="M2" s="460"/>
    </row>
    <row r="3" spans="1:13">
      <c r="A3" s="449" t="s">
        <v>76</v>
      </c>
      <c r="B3" s="451" t="s">
        <v>74</v>
      </c>
      <c r="C3" s="452">
        <v>20</v>
      </c>
      <c r="D3" s="453" t="str">
        <f>LOOKUP(B3,'1、课程目标与考核方式'!$AF$3:$AF$9)</f>
        <v/>
      </c>
      <c r="E3" s="454">
        <v>2</v>
      </c>
      <c r="G3" s="455" t="s">
        <v>77</v>
      </c>
      <c r="H3" s="455"/>
      <c r="I3" s="455"/>
      <c r="J3" s="455"/>
      <c r="M3" s="460"/>
    </row>
    <row r="4" spans="1:13">
      <c r="A4" s="449" t="s">
        <v>78</v>
      </c>
      <c r="B4" s="451" t="s">
        <v>79</v>
      </c>
      <c r="C4" s="452">
        <v>20</v>
      </c>
      <c r="D4" s="453" t="str">
        <f>LOOKUP(B4,'1、课程目标与考核方式'!$AF$3:$AF$9)</f>
        <v/>
      </c>
      <c r="E4" s="454">
        <v>3</v>
      </c>
      <c r="M4" s="460"/>
    </row>
    <row r="5" spans="1:13">
      <c r="A5" s="449" t="s">
        <v>80</v>
      </c>
      <c r="B5" s="451" t="s">
        <v>79</v>
      </c>
      <c r="C5" s="452">
        <v>20</v>
      </c>
      <c r="D5" s="453" t="str">
        <f>LOOKUP(B5,'1、课程目标与考核方式'!$AF$3:$AF$9)</f>
        <v/>
      </c>
      <c r="E5" s="454" t="str">
        <f>IF(COUNTIF(B2:B81,"&lt;&gt;")&lt;&gt;H7,"N","Y")</f>
        <v>Y</v>
      </c>
      <c r="F5" s="454"/>
      <c r="G5" s="454"/>
      <c r="M5" s="460"/>
    </row>
    <row r="6" spans="1:13">
      <c r="A6" s="449" t="s">
        <v>81</v>
      </c>
      <c r="B6" s="451" t="s">
        <v>82</v>
      </c>
      <c r="C6" s="452">
        <v>20</v>
      </c>
      <c r="D6" s="453" t="str">
        <f>LOOKUP(B6,'1、课程目标与考核方式'!$AF$3:$AF$9)</f>
        <v/>
      </c>
      <c r="E6" s="455" t="str">
        <f>IF(COUNTIF(B2:B81,"&lt;&gt;")&lt;&gt;H7,"题目数有误，应该"&amp;H7&amp;"题","当前题目数")</f>
        <v>当前题目数</v>
      </c>
      <c r="F6" s="455"/>
      <c r="G6" s="455"/>
      <c r="H6" s="456" t="s">
        <v>83</v>
      </c>
      <c r="I6" s="456"/>
      <c r="J6" s="456" t="s">
        <v>84</v>
      </c>
      <c r="K6" s="456"/>
      <c r="L6" s="456"/>
      <c r="M6" s="460"/>
    </row>
    <row r="7" spans="1:13">
      <c r="A7" s="449" t="s">
        <v>85</v>
      </c>
      <c r="B7" s="451"/>
      <c r="C7" s="452"/>
      <c r="D7" s="453" t="e">
        <f>LOOKUP(B7,'1、课程目标与考核方式'!$AF$3:$AF$9)</f>
        <v>#N/A</v>
      </c>
      <c r="E7" s="457">
        <f>COUNTIF(B2:B81,"&lt;&gt;")</f>
        <v>5</v>
      </c>
      <c r="F7" s="457"/>
      <c r="G7" s="458"/>
      <c r="H7" s="458">
        <f>'2、试卷（期末）'!B12</f>
        <v>5</v>
      </c>
      <c r="I7" s="458"/>
      <c r="J7" s="458">
        <f>SUM(C2:C81)</f>
        <v>100</v>
      </c>
      <c r="K7" s="458"/>
      <c r="L7" s="458"/>
      <c r="M7" s="460"/>
    </row>
    <row r="8" spans="1:13">
      <c r="A8" s="449" t="s">
        <v>86</v>
      </c>
      <c r="B8" s="451"/>
      <c r="D8" s="453" t="e">
        <f>LOOKUP(B8,'1、课程目标与考核方式'!$AF$3:$AF$9)</f>
        <v>#N/A</v>
      </c>
      <c r="E8" s="457"/>
      <c r="F8" s="457"/>
      <c r="G8" s="458"/>
      <c r="H8" s="458"/>
      <c r="I8" s="458"/>
      <c r="J8" s="458"/>
      <c r="K8" s="458"/>
      <c r="L8" s="458"/>
      <c r="M8" s="460"/>
    </row>
    <row r="9" spans="1:13">
      <c r="A9" s="449" t="s">
        <v>87</v>
      </c>
      <c r="B9" s="451"/>
      <c r="C9" s="452"/>
      <c r="D9" s="453" t="e">
        <f>LOOKUP(B9,'1、课程目标与考核方式'!$AF$3:$AF$9)</f>
        <v>#N/A</v>
      </c>
      <c r="E9" s="457"/>
      <c r="F9" s="457"/>
      <c r="G9" s="458"/>
      <c r="H9" s="458"/>
      <c r="I9" s="458"/>
      <c r="J9" s="458"/>
      <c r="K9" s="458"/>
      <c r="L9" s="458"/>
      <c r="M9" s="460"/>
    </row>
    <row r="10" spans="1:13">
      <c r="A10" s="449" t="s">
        <v>88</v>
      </c>
      <c r="B10" s="451"/>
      <c r="C10" s="452"/>
      <c r="D10" s="453" t="e">
        <f>LOOKUP(B10,'1、课程目标与考核方式'!$AF$3:$AF$9)</f>
        <v>#N/A</v>
      </c>
      <c r="E10" s="457"/>
      <c r="F10" s="457"/>
      <c r="G10" s="458"/>
      <c r="H10" s="458"/>
      <c r="I10" s="458"/>
      <c r="J10" s="458"/>
      <c r="K10" s="458"/>
      <c r="L10" s="458"/>
      <c r="M10" s="460"/>
    </row>
    <row r="11" spans="1:13">
      <c r="A11" s="449" t="s">
        <v>89</v>
      </c>
      <c r="B11" s="451"/>
      <c r="C11" s="452"/>
      <c r="D11" s="459"/>
      <c r="E11" s="457"/>
      <c r="F11" s="457"/>
      <c r="G11" s="458"/>
      <c r="H11" s="458"/>
      <c r="I11" s="458"/>
      <c r="J11" s="458"/>
      <c r="K11" s="458"/>
      <c r="L11" s="458"/>
      <c r="M11" s="460"/>
    </row>
    <row r="12" spans="1:13">
      <c r="A12" s="449" t="s">
        <v>90</v>
      </c>
      <c r="B12" s="451"/>
      <c r="C12" s="452"/>
      <c r="D12" s="459"/>
      <c r="E12" s="457"/>
      <c r="F12" s="457"/>
      <c r="G12" s="458"/>
      <c r="H12" s="458"/>
      <c r="I12" s="458"/>
      <c r="J12" s="458"/>
      <c r="K12" s="458"/>
      <c r="L12" s="458"/>
      <c r="M12" s="460"/>
    </row>
    <row r="13" ht="17" customHeight="1" spans="1:13">
      <c r="A13" s="449" t="s">
        <v>91</v>
      </c>
      <c r="B13" s="451"/>
      <c r="C13" s="452"/>
      <c r="D13" s="459"/>
      <c r="E13" s="454">
        <v>12</v>
      </c>
      <c r="H13" s="458"/>
      <c r="I13" s="458"/>
      <c r="J13" s="461"/>
      <c r="K13" s="461"/>
      <c r="L13" s="461"/>
      <c r="M13" s="460"/>
    </row>
    <row r="14" spans="1:13">
      <c r="A14" s="449" t="s">
        <v>92</v>
      </c>
      <c r="B14" s="451"/>
      <c r="C14" s="452"/>
      <c r="D14" s="459"/>
      <c r="E14" s="454">
        <v>13</v>
      </c>
      <c r="M14" s="460"/>
    </row>
    <row r="15" spans="1:13">
      <c r="A15" s="449" t="s">
        <v>93</v>
      </c>
      <c r="B15" s="451"/>
      <c r="C15" s="452"/>
      <c r="D15" s="459"/>
      <c r="E15" s="454">
        <v>14</v>
      </c>
      <c r="M15" s="460"/>
    </row>
    <row r="16" spans="1:13">
      <c r="A16" s="449" t="s">
        <v>94</v>
      </c>
      <c r="B16" s="451"/>
      <c r="C16" s="452"/>
      <c r="D16" s="459"/>
      <c r="E16" s="454">
        <v>15</v>
      </c>
      <c r="M16" s="460"/>
    </row>
    <row r="17" spans="1:13">
      <c r="A17" s="449" t="s">
        <v>95</v>
      </c>
      <c r="B17" s="451"/>
      <c r="C17" s="452"/>
      <c r="D17" s="459"/>
      <c r="E17" s="454">
        <v>16</v>
      </c>
      <c r="M17" s="460"/>
    </row>
    <row r="18" spans="1:13">
      <c r="A18" s="449" t="s">
        <v>96</v>
      </c>
      <c r="B18" s="451"/>
      <c r="C18" s="452"/>
      <c r="D18" s="459"/>
      <c r="E18" s="454">
        <v>17</v>
      </c>
      <c r="M18" s="460"/>
    </row>
    <row r="19" spans="1:13">
      <c r="A19" s="449" t="s">
        <v>97</v>
      </c>
      <c r="B19" s="451"/>
      <c r="C19" s="452"/>
      <c r="D19" s="459"/>
      <c r="E19" s="454">
        <v>18</v>
      </c>
      <c r="M19" s="460"/>
    </row>
    <row r="20" spans="1:13">
      <c r="A20" s="449" t="s">
        <v>98</v>
      </c>
      <c r="B20" s="451"/>
      <c r="C20" s="452"/>
      <c r="D20" s="459"/>
      <c r="E20" s="454">
        <v>19</v>
      </c>
      <c r="M20" s="460"/>
    </row>
    <row r="21" spans="1:13">
      <c r="A21" s="449" t="s">
        <v>99</v>
      </c>
      <c r="B21" s="451"/>
      <c r="C21" s="452"/>
      <c r="D21" s="459"/>
      <c r="E21" s="454">
        <v>20</v>
      </c>
      <c r="M21" s="460"/>
    </row>
    <row r="22" spans="1:13">
      <c r="A22" s="449" t="s">
        <v>100</v>
      </c>
      <c r="B22" s="451"/>
      <c r="C22" s="452"/>
      <c r="D22" s="459"/>
      <c r="E22" s="454">
        <v>21</v>
      </c>
      <c r="M22" s="460"/>
    </row>
    <row r="23" spans="1:13">
      <c r="A23" s="449" t="s">
        <v>101</v>
      </c>
      <c r="B23" s="451"/>
      <c r="C23" s="452"/>
      <c r="D23" s="459"/>
      <c r="E23" s="454">
        <v>22</v>
      </c>
      <c r="M23" s="460"/>
    </row>
    <row r="24" spans="1:13">
      <c r="A24" s="449" t="s">
        <v>102</v>
      </c>
      <c r="B24" s="451"/>
      <c r="C24" s="452"/>
      <c r="D24" s="459"/>
      <c r="E24" s="454">
        <v>23</v>
      </c>
      <c r="M24" s="460"/>
    </row>
    <row r="25" spans="1:13">
      <c r="A25" s="449" t="s">
        <v>103</v>
      </c>
      <c r="B25" s="451"/>
      <c r="C25" s="452"/>
      <c r="D25" s="459"/>
      <c r="E25" s="454">
        <v>24</v>
      </c>
      <c r="M25" s="460"/>
    </row>
    <row r="26" spans="1:13">
      <c r="A26" s="449" t="s">
        <v>104</v>
      </c>
      <c r="B26" s="451"/>
      <c r="C26" s="452"/>
      <c r="D26" s="459"/>
      <c r="E26" s="454">
        <v>25</v>
      </c>
      <c r="M26" s="460"/>
    </row>
    <row r="27" spans="1:13">
      <c r="A27" s="449" t="s">
        <v>105</v>
      </c>
      <c r="B27" s="451"/>
      <c r="C27" s="452"/>
      <c r="D27" s="459"/>
      <c r="E27" s="454">
        <v>26</v>
      </c>
      <c r="M27" s="460"/>
    </row>
    <row r="28" spans="1:13">
      <c r="A28" s="449" t="s">
        <v>106</v>
      </c>
      <c r="B28" s="451"/>
      <c r="C28" s="452"/>
      <c r="D28" s="459"/>
      <c r="E28" s="454">
        <v>27</v>
      </c>
      <c r="M28" s="460"/>
    </row>
    <row r="29" spans="1:13">
      <c r="A29" s="449" t="s">
        <v>107</v>
      </c>
      <c r="B29" s="451"/>
      <c r="C29" s="452"/>
      <c r="D29" s="459"/>
      <c r="E29" s="454">
        <v>28</v>
      </c>
      <c r="M29" s="460"/>
    </row>
    <row r="30" spans="1:13">
      <c r="A30" s="449" t="s">
        <v>108</v>
      </c>
      <c r="B30" s="451"/>
      <c r="C30" s="452"/>
      <c r="D30" s="459"/>
      <c r="E30" s="454">
        <v>29</v>
      </c>
      <c r="M30" s="460"/>
    </row>
    <row r="31" spans="1:13">
      <c r="A31" s="449" t="s">
        <v>109</v>
      </c>
      <c r="B31" s="451"/>
      <c r="C31" s="452"/>
      <c r="D31" s="459"/>
      <c r="E31" s="454">
        <v>30</v>
      </c>
      <c r="M31" s="460"/>
    </row>
    <row r="32" spans="1:13">
      <c r="A32" s="449" t="s">
        <v>110</v>
      </c>
      <c r="B32" s="451"/>
      <c r="C32" s="452"/>
      <c r="D32" s="459"/>
      <c r="E32" s="454">
        <v>31</v>
      </c>
      <c r="M32" s="460"/>
    </row>
    <row r="33" spans="1:13">
      <c r="A33" s="449" t="s">
        <v>111</v>
      </c>
      <c r="B33" s="451"/>
      <c r="C33" s="452"/>
      <c r="D33" s="459"/>
      <c r="E33" s="454">
        <v>32</v>
      </c>
      <c r="M33" s="460"/>
    </row>
    <row r="34" spans="1:13">
      <c r="A34" s="449" t="s">
        <v>112</v>
      </c>
      <c r="B34" s="451"/>
      <c r="C34" s="452"/>
      <c r="D34" s="459"/>
      <c r="E34" s="454">
        <v>33</v>
      </c>
      <c r="M34" s="460"/>
    </row>
    <row r="35" spans="1:13">
      <c r="A35" s="449" t="s">
        <v>113</v>
      </c>
      <c r="B35" s="451"/>
      <c r="C35" s="452"/>
      <c r="D35" s="459"/>
      <c r="E35" s="454">
        <v>34</v>
      </c>
      <c r="M35" s="460"/>
    </row>
    <row r="36" spans="1:13">
      <c r="A36" s="449" t="s">
        <v>114</v>
      </c>
      <c r="B36" s="451"/>
      <c r="C36" s="452"/>
      <c r="D36" s="459"/>
      <c r="E36" s="454">
        <v>35</v>
      </c>
      <c r="M36" s="460"/>
    </row>
    <row r="37" spans="1:13">
      <c r="A37" s="449" t="s">
        <v>115</v>
      </c>
      <c r="B37" s="451"/>
      <c r="C37" s="452"/>
      <c r="D37" s="459"/>
      <c r="E37" s="454">
        <v>36</v>
      </c>
      <c r="M37" s="460"/>
    </row>
    <row r="38" spans="1:13">
      <c r="A38" s="449" t="s">
        <v>116</v>
      </c>
      <c r="B38" s="451"/>
      <c r="C38" s="452"/>
      <c r="D38" s="459"/>
      <c r="E38" s="454">
        <v>37</v>
      </c>
      <c r="M38" s="460"/>
    </row>
    <row r="39" spans="1:13">
      <c r="A39" s="449" t="s">
        <v>117</v>
      </c>
      <c r="B39" s="451"/>
      <c r="C39" s="452"/>
      <c r="D39" s="459"/>
      <c r="E39" s="454">
        <v>38</v>
      </c>
      <c r="M39" s="460"/>
    </row>
    <row r="40" spans="1:13">
      <c r="A40" s="449" t="s">
        <v>118</v>
      </c>
      <c r="B40" s="451"/>
      <c r="C40" s="452"/>
      <c r="D40" s="459"/>
      <c r="E40" s="454">
        <v>39</v>
      </c>
      <c r="M40" s="460"/>
    </row>
    <row r="41" spans="1:13">
      <c r="A41" s="449" t="s">
        <v>119</v>
      </c>
      <c r="B41" s="451"/>
      <c r="C41" s="452"/>
      <c r="D41" s="459"/>
      <c r="E41" s="454">
        <v>40</v>
      </c>
      <c r="M41" s="460"/>
    </row>
    <row r="42" spans="1:13">
      <c r="A42" s="449" t="s">
        <v>120</v>
      </c>
      <c r="B42" s="451"/>
      <c r="C42" s="452"/>
      <c r="D42" s="459"/>
      <c r="E42" s="454">
        <v>41</v>
      </c>
      <c r="M42" s="460"/>
    </row>
    <row r="43" spans="1:13">
      <c r="A43" s="449" t="s">
        <v>121</v>
      </c>
      <c r="B43" s="451"/>
      <c r="C43" s="452"/>
      <c r="D43" s="459"/>
      <c r="E43" s="454">
        <v>42</v>
      </c>
      <c r="M43" s="460"/>
    </row>
    <row r="44" spans="1:13">
      <c r="A44" s="449" t="s">
        <v>122</v>
      </c>
      <c r="B44" s="451"/>
      <c r="C44" s="452"/>
      <c r="D44" s="459"/>
      <c r="E44" s="454">
        <v>43</v>
      </c>
      <c r="M44" s="460"/>
    </row>
    <row r="45" spans="1:13">
      <c r="A45" s="449" t="s">
        <v>123</v>
      </c>
      <c r="B45" s="451"/>
      <c r="C45" s="452"/>
      <c r="D45" s="459"/>
      <c r="E45" s="454">
        <v>44</v>
      </c>
      <c r="M45" s="460"/>
    </row>
    <row r="46" spans="1:13">
      <c r="A46" s="449" t="s">
        <v>124</v>
      </c>
      <c r="B46" s="451"/>
      <c r="C46" s="452"/>
      <c r="D46" s="459"/>
      <c r="E46" s="454">
        <v>45</v>
      </c>
      <c r="M46" s="460"/>
    </row>
    <row r="47" spans="1:13">
      <c r="A47" s="449" t="s">
        <v>125</v>
      </c>
      <c r="B47" s="451"/>
      <c r="C47" s="452"/>
      <c r="D47" s="459"/>
      <c r="E47" s="454">
        <v>46</v>
      </c>
      <c r="M47" s="460"/>
    </row>
    <row r="48" spans="1:13">
      <c r="A48" s="449" t="s">
        <v>126</v>
      </c>
      <c r="B48" s="451"/>
      <c r="C48" s="452"/>
      <c r="D48" s="459"/>
      <c r="E48" s="454">
        <v>47</v>
      </c>
      <c r="M48" s="460"/>
    </row>
    <row r="49" spans="1:13">
      <c r="A49" s="449" t="s">
        <v>127</v>
      </c>
      <c r="B49" s="451"/>
      <c r="C49" s="452"/>
      <c r="D49" s="459"/>
      <c r="E49" s="454">
        <v>48</v>
      </c>
      <c r="M49" s="460"/>
    </row>
    <row r="50" spans="1:13">
      <c r="A50" s="449" t="s">
        <v>128</v>
      </c>
      <c r="B50" s="451"/>
      <c r="C50" s="452"/>
      <c r="D50" s="459"/>
      <c r="E50" s="454">
        <v>49</v>
      </c>
      <c r="M50" s="460"/>
    </row>
    <row r="51" spans="1:13">
      <c r="A51" s="449" t="s">
        <v>129</v>
      </c>
      <c r="B51" s="451"/>
      <c r="C51" s="452"/>
      <c r="D51" s="459"/>
      <c r="E51" s="454">
        <v>50</v>
      </c>
      <c r="M51" s="460"/>
    </row>
    <row r="52" spans="1:13">
      <c r="A52" s="449" t="s">
        <v>130</v>
      </c>
      <c r="B52" s="451"/>
      <c r="C52" s="452"/>
      <c r="D52" s="459"/>
      <c r="E52" s="454">
        <v>51</v>
      </c>
      <c r="M52" s="460"/>
    </row>
    <row r="53" spans="1:13">
      <c r="A53" s="449" t="s">
        <v>131</v>
      </c>
      <c r="B53" s="451"/>
      <c r="C53" s="452"/>
      <c r="D53" s="459"/>
      <c r="E53" s="454">
        <v>52</v>
      </c>
      <c r="M53" s="460"/>
    </row>
    <row r="54" spans="1:13">
      <c r="A54" s="449" t="s">
        <v>132</v>
      </c>
      <c r="B54" s="451"/>
      <c r="C54" s="452"/>
      <c r="D54" s="459"/>
      <c r="E54" s="454">
        <v>53</v>
      </c>
      <c r="M54" s="460"/>
    </row>
    <row r="55" spans="1:13">
      <c r="A55" s="449" t="s">
        <v>133</v>
      </c>
      <c r="B55" s="451"/>
      <c r="C55" s="452"/>
      <c r="D55" s="459"/>
      <c r="E55" s="454">
        <v>54</v>
      </c>
      <c r="M55" s="460"/>
    </row>
    <row r="56" spans="1:13">
      <c r="A56" s="449" t="s">
        <v>134</v>
      </c>
      <c r="B56" s="451"/>
      <c r="C56" s="452"/>
      <c r="D56" s="459"/>
      <c r="E56" s="454">
        <v>55</v>
      </c>
      <c r="M56" s="460"/>
    </row>
    <row r="57" spans="1:13">
      <c r="A57" s="449" t="s">
        <v>135</v>
      </c>
      <c r="B57" s="451"/>
      <c r="C57" s="452"/>
      <c r="D57" s="459"/>
      <c r="E57" s="454">
        <v>56</v>
      </c>
      <c r="M57" s="460"/>
    </row>
    <row r="58" spans="1:13">
      <c r="A58" s="449" t="s">
        <v>136</v>
      </c>
      <c r="B58" s="451"/>
      <c r="C58" s="452"/>
      <c r="D58" s="459"/>
      <c r="E58" s="454">
        <v>57</v>
      </c>
      <c r="M58" s="460"/>
    </row>
    <row r="59" spans="1:13">
      <c r="A59" s="449" t="s">
        <v>137</v>
      </c>
      <c r="B59" s="451"/>
      <c r="C59" s="452"/>
      <c r="D59" s="459"/>
      <c r="E59" s="454">
        <v>58</v>
      </c>
      <c r="M59" s="460"/>
    </row>
    <row r="60" spans="1:13">
      <c r="A60" s="449" t="s">
        <v>138</v>
      </c>
      <c r="B60" s="451"/>
      <c r="C60" s="452"/>
      <c r="D60" s="459"/>
      <c r="E60" s="454">
        <v>59</v>
      </c>
      <c r="M60" s="460"/>
    </row>
    <row r="61" spans="1:13">
      <c r="A61" s="449" t="s">
        <v>139</v>
      </c>
      <c r="B61" s="451"/>
      <c r="C61" s="452"/>
      <c r="D61" s="459"/>
      <c r="E61" s="454">
        <v>60</v>
      </c>
      <c r="M61" s="460"/>
    </row>
    <row r="62" spans="1:13">
      <c r="A62" s="449" t="s">
        <v>140</v>
      </c>
      <c r="B62" s="451"/>
      <c r="C62" s="452"/>
      <c r="D62" s="459"/>
      <c r="E62" s="454">
        <v>61</v>
      </c>
      <c r="M62" s="460"/>
    </row>
    <row r="63" spans="1:13">
      <c r="A63" s="449" t="s">
        <v>141</v>
      </c>
      <c r="B63" s="451"/>
      <c r="C63" s="452"/>
      <c r="D63" s="459"/>
      <c r="E63" s="454">
        <v>62</v>
      </c>
      <c r="M63" s="460"/>
    </row>
    <row r="64" spans="1:13">
      <c r="A64" s="449" t="s">
        <v>142</v>
      </c>
      <c r="B64" s="451"/>
      <c r="C64" s="452"/>
      <c r="D64" s="459"/>
      <c r="E64" s="454">
        <v>63</v>
      </c>
      <c r="M64" s="460"/>
    </row>
    <row r="65" spans="1:13">
      <c r="A65" s="449" t="s">
        <v>143</v>
      </c>
      <c r="B65" s="451"/>
      <c r="C65" s="452"/>
      <c r="D65" s="459"/>
      <c r="E65" s="454">
        <v>64</v>
      </c>
      <c r="M65" s="460"/>
    </row>
    <row r="66" spans="1:13">
      <c r="A66" s="449" t="s">
        <v>144</v>
      </c>
      <c r="B66" s="451"/>
      <c r="C66" s="452"/>
      <c r="D66" s="459"/>
      <c r="E66" s="454">
        <v>65</v>
      </c>
      <c r="M66" s="460"/>
    </row>
    <row r="67" spans="1:13">
      <c r="A67" s="449" t="s">
        <v>145</v>
      </c>
      <c r="B67" s="451"/>
      <c r="C67" s="452"/>
      <c r="D67" s="459"/>
      <c r="E67" s="454">
        <v>66</v>
      </c>
      <c r="M67" s="460"/>
    </row>
    <row r="68" spans="1:13">
      <c r="A68" s="449" t="s">
        <v>146</v>
      </c>
      <c r="B68" s="451"/>
      <c r="C68" s="452"/>
      <c r="D68" s="459"/>
      <c r="E68" s="454">
        <v>67</v>
      </c>
      <c r="M68" s="460"/>
    </row>
    <row r="69" spans="1:13">
      <c r="A69" s="449" t="s">
        <v>147</v>
      </c>
      <c r="B69" s="451"/>
      <c r="C69" s="452"/>
      <c r="D69" s="459"/>
      <c r="E69" s="454">
        <v>68</v>
      </c>
      <c r="M69" s="460"/>
    </row>
    <row r="70" spans="1:13">
      <c r="A70" s="449" t="s">
        <v>148</v>
      </c>
      <c r="B70" s="451"/>
      <c r="C70" s="452"/>
      <c r="D70" s="459"/>
      <c r="E70" s="454">
        <v>69</v>
      </c>
      <c r="M70" s="460"/>
    </row>
    <row r="71" spans="1:13">
      <c r="A71" s="449" t="s">
        <v>149</v>
      </c>
      <c r="B71" s="451"/>
      <c r="C71" s="452"/>
      <c r="D71" s="459"/>
      <c r="E71" s="454">
        <v>70</v>
      </c>
      <c r="M71" s="460"/>
    </row>
    <row r="72" spans="1:13">
      <c r="A72" s="449" t="s">
        <v>150</v>
      </c>
      <c r="B72" s="451"/>
      <c r="C72" s="452"/>
      <c r="D72" s="459"/>
      <c r="E72" s="454">
        <v>71</v>
      </c>
      <c r="M72" s="460"/>
    </row>
    <row r="73" spans="1:13">
      <c r="A73" s="449" t="s">
        <v>151</v>
      </c>
      <c r="B73" s="451"/>
      <c r="C73" s="452"/>
      <c r="D73" s="459"/>
      <c r="E73" s="454">
        <v>72</v>
      </c>
      <c r="M73" s="460"/>
    </row>
    <row r="74" spans="1:13">
      <c r="A74" s="449" t="s">
        <v>152</v>
      </c>
      <c r="B74" s="451"/>
      <c r="C74" s="452"/>
      <c r="D74" s="459"/>
      <c r="E74" s="454">
        <v>73</v>
      </c>
      <c r="M74" s="460"/>
    </row>
    <row r="75" spans="1:13">
      <c r="A75" s="449" t="s">
        <v>153</v>
      </c>
      <c r="B75" s="451"/>
      <c r="C75" s="452"/>
      <c r="D75" s="459"/>
      <c r="E75" s="454">
        <v>74</v>
      </c>
      <c r="M75" s="460"/>
    </row>
    <row r="76" spans="1:13">
      <c r="A76" s="449" t="s">
        <v>154</v>
      </c>
      <c r="B76" s="451"/>
      <c r="C76" s="452"/>
      <c r="D76" s="459"/>
      <c r="E76" s="454">
        <v>75</v>
      </c>
      <c r="M76" s="460"/>
    </row>
    <row r="77" spans="1:13">
      <c r="A77" s="449" t="s">
        <v>155</v>
      </c>
      <c r="B77" s="451"/>
      <c r="C77" s="452"/>
      <c r="D77" s="459"/>
      <c r="E77" s="454">
        <v>76</v>
      </c>
      <c r="M77" s="460"/>
    </row>
    <row r="78" spans="1:13">
      <c r="A78" s="449" t="s">
        <v>156</v>
      </c>
      <c r="B78" s="451"/>
      <c r="C78" s="452"/>
      <c r="D78" s="459"/>
      <c r="E78" s="454">
        <v>77</v>
      </c>
      <c r="M78" s="460"/>
    </row>
    <row r="79" spans="1:13">
      <c r="A79" s="449" t="s">
        <v>157</v>
      </c>
      <c r="B79" s="451"/>
      <c r="C79" s="452"/>
      <c r="D79" s="459"/>
      <c r="E79" s="454">
        <v>78</v>
      </c>
      <c r="M79" s="460"/>
    </row>
    <row r="80" spans="1:13">
      <c r="A80" s="449" t="s">
        <v>158</v>
      </c>
      <c r="B80" s="451"/>
      <c r="C80" s="452"/>
      <c r="D80" s="459"/>
      <c r="E80" s="454">
        <v>79</v>
      </c>
      <c r="M80" s="460"/>
    </row>
    <row r="81" spans="1:13">
      <c r="A81" s="449" t="s">
        <v>159</v>
      </c>
      <c r="B81" s="451"/>
      <c r="C81" s="452"/>
      <c r="D81" s="459"/>
      <c r="E81" s="454">
        <v>80</v>
      </c>
      <c r="M81" s="460"/>
    </row>
    <row r="82" spans="13:13">
      <c r="M82" s="460"/>
    </row>
  </sheetData>
  <sheetProtection password="DE0E" sheet="1" selectLockedCells="1" objects="1"/>
  <protectedRanges>
    <protectedRange sqref="B27 B28:C81 B26 B22:C25" name="期末试卷每小题对应课程目标的分布表"/>
    <protectedRange sqref="C27" name="期末试卷每小题对应课程目标的分布表_1"/>
    <protectedRange sqref="C26" name="期末试卷每小题对应课程目标的分布表_2"/>
    <protectedRange sqref="B2:C21" name="期末试卷每小题对应课程目标的分布表_3"/>
  </protectedRanges>
  <mergeCells count="9">
    <mergeCell ref="E5:G5"/>
    <mergeCell ref="E6:G6"/>
    <mergeCell ref="H6:I6"/>
    <mergeCell ref="J6:L6"/>
    <mergeCell ref="J13:L13"/>
    <mergeCell ref="G7:G12"/>
    <mergeCell ref="H7:I12"/>
    <mergeCell ref="E7:F12"/>
    <mergeCell ref="J7:L12"/>
  </mergeCells>
  <dataValidations count="1">
    <dataValidation type="list" allowBlank="1" showInputMessage="1" showErrorMessage="1" sqref="B2:B81">
      <formula1>'1、课程目标与考核方式'!$AI$1:$AI$8</formula1>
    </dataValidation>
  </dataValidations>
  <pageMargins left="0.699305555555556" right="0.699305555555556" top="0.75" bottom="0.75" header="0.3" footer="0.3"/>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H200"/>
  <sheetViews>
    <sheetView workbookViewId="0">
      <selection activeCell="K13" sqref="K13"/>
    </sheetView>
  </sheetViews>
  <sheetFormatPr defaultColWidth="9" defaultRowHeight="14" outlineLevelCol="7"/>
  <sheetData>
    <row r="1" spans="1:8">
      <c r="A1" t="str">
        <f>IF(ISBLANK('3、期末成绩'!A2)," ",MID('3、期末成绩'!A2,1,2))</f>
        <v>16</v>
      </c>
      <c r="B1" t="str">
        <f>IF(A1=" "," ",20&amp;A1)</f>
        <v>2016</v>
      </c>
      <c r="D1">
        <f>COUNTIF(B:B,E1)</f>
        <v>0</v>
      </c>
      <c r="E1">
        <v>2010</v>
      </c>
      <c r="G1">
        <f>VLOOKUP(MAX(D:D),D:E,2,FALSE)</f>
        <v>2016</v>
      </c>
      <c r="H1" t="s">
        <v>160</v>
      </c>
    </row>
    <row r="2" spans="1:8">
      <c r="A2" t="str">
        <f>IF(ISBLANK('3、期末成绩'!A3)," ",MID('3、期末成绩'!A3,1,2))</f>
        <v>16</v>
      </c>
      <c r="B2" t="str">
        <f t="shared" ref="B2" si="0">IF(A2=" "," ",20&amp;A2)</f>
        <v>2016</v>
      </c>
      <c r="D2">
        <f t="shared" ref="D2" si="1">COUNTIF(B:B,E2)</f>
        <v>0</v>
      </c>
      <c r="E2">
        <v>2011</v>
      </c>
      <c r="G2">
        <f>G1+4</f>
        <v>2020</v>
      </c>
      <c r="H2" t="s">
        <v>161</v>
      </c>
    </row>
    <row r="3" spans="1:5">
      <c r="A3" t="str">
        <f>IF(ISBLANK('3、期末成绩'!A4)," ",MID('3、期末成绩'!A4,1,2))</f>
        <v>16</v>
      </c>
      <c r="B3" t="str">
        <f t="shared" ref="B3" si="2">IF(A3=" "," ",20&amp;A3)</f>
        <v>2016</v>
      </c>
      <c r="D3">
        <f t="shared" ref="D3" si="3">COUNTIF(B:B,E3)</f>
        <v>0</v>
      </c>
      <c r="E3">
        <v>2012</v>
      </c>
    </row>
    <row r="4" spans="1:5">
      <c r="A4" t="str">
        <f>IF(ISBLANK('3、期末成绩'!A5)," ",MID('3、期末成绩'!A5,1,2))</f>
        <v>16</v>
      </c>
      <c r="B4" t="str">
        <f t="shared" ref="B4" si="4">IF(A4=" "," ",20&amp;A4)</f>
        <v>2016</v>
      </c>
      <c r="D4">
        <f t="shared" ref="D4" si="5">COUNTIF(B:B,E4)</f>
        <v>0</v>
      </c>
      <c r="E4">
        <v>2013</v>
      </c>
    </row>
    <row r="5" spans="1:5">
      <c r="A5" t="str">
        <f>IF(ISBLANK('3、期末成绩'!A6)," ",MID('3、期末成绩'!A6,1,2))</f>
        <v>16</v>
      </c>
      <c r="B5" t="str">
        <f t="shared" ref="B5:B34" si="6">IF(A5=" "," ",20&amp;A5)</f>
        <v>2016</v>
      </c>
      <c r="D5">
        <f t="shared" ref="D5:D21" si="7">COUNTIF(B:B,E5)</f>
        <v>0</v>
      </c>
      <c r="E5">
        <v>2014</v>
      </c>
    </row>
    <row r="6" spans="1:5">
      <c r="A6" t="str">
        <f>IF(ISBLANK('3、期末成绩'!A7)," ",MID('3、期末成绩'!A7,1,2))</f>
        <v>16</v>
      </c>
      <c r="B6" t="str">
        <f t="shared" si="6"/>
        <v>2016</v>
      </c>
      <c r="D6">
        <f t="shared" si="7"/>
        <v>0</v>
      </c>
      <c r="E6">
        <v>2015</v>
      </c>
    </row>
    <row r="7" spans="1:5">
      <c r="A7" t="str">
        <f>IF(ISBLANK('3、期末成绩'!A8)," ",MID('3、期末成绩'!A8,1,2))</f>
        <v>16</v>
      </c>
      <c r="B7" t="str">
        <f t="shared" si="6"/>
        <v>2016</v>
      </c>
      <c r="D7">
        <f t="shared" si="7"/>
        <v>70</v>
      </c>
      <c r="E7">
        <v>2016</v>
      </c>
    </row>
    <row r="8" spans="1:5">
      <c r="A8" t="str">
        <f>IF(ISBLANK('3、期末成绩'!A9)," ",MID('3、期末成绩'!A9,1,2))</f>
        <v>16</v>
      </c>
      <c r="B8" t="str">
        <f t="shared" si="6"/>
        <v>2016</v>
      </c>
      <c r="D8">
        <f t="shared" si="7"/>
        <v>0</v>
      </c>
      <c r="E8">
        <v>2017</v>
      </c>
    </row>
    <row r="9" spans="1:5">
      <c r="A9" t="str">
        <f>IF(ISBLANK('3、期末成绩'!A10)," ",MID('3、期末成绩'!A10,1,2))</f>
        <v>16</v>
      </c>
      <c r="B9" t="str">
        <f t="shared" si="6"/>
        <v>2016</v>
      </c>
      <c r="D9">
        <f t="shared" si="7"/>
        <v>0</v>
      </c>
      <c r="E9">
        <v>2018</v>
      </c>
    </row>
    <row r="10" spans="1:5">
      <c r="A10" t="str">
        <f>IF(ISBLANK('3、期末成绩'!A11)," ",MID('3、期末成绩'!A11,1,2))</f>
        <v>16</v>
      </c>
      <c r="B10" t="str">
        <f t="shared" si="6"/>
        <v>2016</v>
      </c>
      <c r="D10">
        <f t="shared" si="7"/>
        <v>0</v>
      </c>
      <c r="E10">
        <v>2019</v>
      </c>
    </row>
    <row r="11" spans="1:5">
      <c r="A11" t="str">
        <f>IF(ISBLANK('3、期末成绩'!A12)," ",MID('3、期末成绩'!A12,1,2))</f>
        <v>16</v>
      </c>
      <c r="B11" t="str">
        <f t="shared" si="6"/>
        <v>2016</v>
      </c>
      <c r="D11">
        <f t="shared" si="7"/>
        <v>0</v>
      </c>
      <c r="E11">
        <v>2020</v>
      </c>
    </row>
    <row r="12" spans="1:5">
      <c r="A12" t="str">
        <f>IF(ISBLANK('3、期末成绩'!A13)," ",MID('3、期末成绩'!A13,1,2))</f>
        <v>16</v>
      </c>
      <c r="B12" t="str">
        <f t="shared" si="6"/>
        <v>2016</v>
      </c>
      <c r="D12">
        <f t="shared" si="7"/>
        <v>0</v>
      </c>
      <c r="E12">
        <v>2021</v>
      </c>
    </row>
    <row r="13" spans="1:5">
      <c r="A13" t="str">
        <f>IF(ISBLANK('3、期末成绩'!A14)," ",MID('3、期末成绩'!A14,1,2))</f>
        <v>16</v>
      </c>
      <c r="B13" t="str">
        <f t="shared" si="6"/>
        <v>2016</v>
      </c>
      <c r="D13">
        <f t="shared" si="7"/>
        <v>0</v>
      </c>
      <c r="E13">
        <v>2022</v>
      </c>
    </row>
    <row r="14" spans="1:5">
      <c r="A14" t="str">
        <f>IF(ISBLANK('3、期末成绩'!A15)," ",MID('3、期末成绩'!A15,1,2))</f>
        <v>16</v>
      </c>
      <c r="B14" t="str">
        <f t="shared" si="6"/>
        <v>2016</v>
      </c>
      <c r="D14">
        <f t="shared" si="7"/>
        <v>0</v>
      </c>
      <c r="E14">
        <v>2023</v>
      </c>
    </row>
    <row r="15" spans="1:5">
      <c r="A15" t="str">
        <f>IF(ISBLANK('3、期末成绩'!A16)," ",MID('3、期末成绩'!A16,1,2))</f>
        <v>16</v>
      </c>
      <c r="B15" t="str">
        <f t="shared" si="6"/>
        <v>2016</v>
      </c>
      <c r="D15">
        <f t="shared" si="7"/>
        <v>0</v>
      </c>
      <c r="E15">
        <v>2024</v>
      </c>
    </row>
    <row r="16" spans="1:5">
      <c r="A16" t="str">
        <f>IF(ISBLANK('3、期末成绩'!A17)," ",MID('3、期末成绩'!A17,1,2))</f>
        <v>16</v>
      </c>
      <c r="B16" t="str">
        <f t="shared" si="6"/>
        <v>2016</v>
      </c>
      <c r="D16">
        <f t="shared" si="7"/>
        <v>0</v>
      </c>
      <c r="E16">
        <v>2025</v>
      </c>
    </row>
    <row r="17" spans="1:5">
      <c r="A17" t="str">
        <f>IF(ISBLANK('3、期末成绩'!A18)," ",MID('3、期末成绩'!A18,1,2))</f>
        <v>16</v>
      </c>
      <c r="B17" t="str">
        <f t="shared" si="6"/>
        <v>2016</v>
      </c>
      <c r="D17">
        <f t="shared" si="7"/>
        <v>0</v>
      </c>
      <c r="E17">
        <v>2026</v>
      </c>
    </row>
    <row r="18" spans="1:5">
      <c r="A18" t="str">
        <f>IF(ISBLANK('3、期末成绩'!A19)," ",MID('3、期末成绩'!A19,1,2))</f>
        <v>16</v>
      </c>
      <c r="B18" t="str">
        <f t="shared" si="6"/>
        <v>2016</v>
      </c>
      <c r="D18">
        <f t="shared" si="7"/>
        <v>0</v>
      </c>
      <c r="E18">
        <v>2027</v>
      </c>
    </row>
    <row r="19" spans="1:5">
      <c r="A19" t="str">
        <f>IF(ISBLANK('3、期末成绩'!A20)," ",MID('3、期末成绩'!A20,1,2))</f>
        <v>16</v>
      </c>
      <c r="B19" t="str">
        <f t="shared" si="6"/>
        <v>2016</v>
      </c>
      <c r="D19">
        <f t="shared" si="7"/>
        <v>0</v>
      </c>
      <c r="E19">
        <v>2028</v>
      </c>
    </row>
    <row r="20" spans="1:5">
      <c r="A20" t="str">
        <f>IF(ISBLANK('3、期末成绩'!A21)," ",MID('3、期末成绩'!A21,1,2))</f>
        <v>16</v>
      </c>
      <c r="B20" t="str">
        <f t="shared" si="6"/>
        <v>2016</v>
      </c>
      <c r="D20">
        <f t="shared" si="7"/>
        <v>0</v>
      </c>
      <c r="E20">
        <v>2029</v>
      </c>
    </row>
    <row r="21" spans="1:5">
      <c r="A21" t="str">
        <f>IF(ISBLANK('3、期末成绩'!A22)," ",MID('3、期末成绩'!A22,1,2))</f>
        <v>16</v>
      </c>
      <c r="B21" t="str">
        <f t="shared" si="6"/>
        <v>2016</v>
      </c>
      <c r="D21">
        <f t="shared" si="7"/>
        <v>0</v>
      </c>
      <c r="E21">
        <v>2030</v>
      </c>
    </row>
    <row r="22" spans="1:2">
      <c r="A22" t="str">
        <f>IF(ISBLANK('3、期末成绩'!A23)," ",MID('3、期末成绩'!A23,1,2))</f>
        <v>16</v>
      </c>
      <c r="B22" t="str">
        <f t="shared" si="6"/>
        <v>2016</v>
      </c>
    </row>
    <row r="23" spans="1:2">
      <c r="A23" t="str">
        <f>IF(ISBLANK('3、期末成绩'!A24)," ",MID('3、期末成绩'!A24,1,2))</f>
        <v>16</v>
      </c>
      <c r="B23" t="str">
        <f t="shared" si="6"/>
        <v>2016</v>
      </c>
    </row>
    <row r="24" spans="1:2">
      <c r="A24" t="str">
        <f>IF(ISBLANK('3、期末成绩'!A25)," ",MID('3、期末成绩'!A25,1,2))</f>
        <v>16</v>
      </c>
      <c r="B24" t="str">
        <f t="shared" si="6"/>
        <v>2016</v>
      </c>
    </row>
    <row r="25" spans="1:2">
      <c r="A25" t="str">
        <f>IF(ISBLANK('3、期末成绩'!A26)," ",MID('3、期末成绩'!A26,1,2))</f>
        <v>16</v>
      </c>
      <c r="B25" t="str">
        <f t="shared" si="6"/>
        <v>2016</v>
      </c>
    </row>
    <row r="26" spans="1:2">
      <c r="A26" t="str">
        <f>IF(ISBLANK('3、期末成绩'!A27)," ",MID('3、期末成绩'!A27,1,2))</f>
        <v>16</v>
      </c>
      <c r="B26" t="str">
        <f t="shared" si="6"/>
        <v>2016</v>
      </c>
    </row>
    <row r="27" spans="1:2">
      <c r="A27" t="str">
        <f>IF(ISBLANK('3、期末成绩'!A28)," ",MID('3、期末成绩'!A28,1,2))</f>
        <v>16</v>
      </c>
      <c r="B27" t="str">
        <f t="shared" si="6"/>
        <v>2016</v>
      </c>
    </row>
    <row r="28" spans="1:2">
      <c r="A28" t="str">
        <f>IF(ISBLANK('3、期末成绩'!A29)," ",MID('3、期末成绩'!A29,1,2))</f>
        <v>16</v>
      </c>
      <c r="B28" t="str">
        <f t="shared" si="6"/>
        <v>2016</v>
      </c>
    </row>
    <row r="29" spans="1:2">
      <c r="A29" t="str">
        <f>IF(ISBLANK('3、期末成绩'!A30)," ",MID('3、期末成绩'!A30,1,2))</f>
        <v>16</v>
      </c>
      <c r="B29" t="str">
        <f t="shared" si="6"/>
        <v>2016</v>
      </c>
    </row>
    <row r="30" spans="1:2">
      <c r="A30" t="str">
        <f>IF(ISBLANK('3、期末成绩'!A31)," ",MID('3、期末成绩'!A31,1,2))</f>
        <v>16</v>
      </c>
      <c r="B30" t="str">
        <f t="shared" si="6"/>
        <v>2016</v>
      </c>
    </row>
    <row r="31" spans="1:2">
      <c r="A31" t="str">
        <f>IF(ISBLANK('3、期末成绩'!A32)," ",MID('3、期末成绩'!A32,1,2))</f>
        <v>16</v>
      </c>
      <c r="B31" t="str">
        <f t="shared" si="6"/>
        <v>2016</v>
      </c>
    </row>
    <row r="32" spans="1:2">
      <c r="A32" t="str">
        <f>IF(ISBLANK('3、期末成绩'!A33)," ",MID('3、期末成绩'!A33,1,2))</f>
        <v>16</v>
      </c>
      <c r="B32" t="str">
        <f t="shared" si="6"/>
        <v>2016</v>
      </c>
    </row>
    <row r="33" spans="1:2">
      <c r="A33" t="str">
        <f>IF(ISBLANK('3、期末成绩'!A34)," ",MID('3、期末成绩'!A34,1,2))</f>
        <v>16</v>
      </c>
      <c r="B33" t="str">
        <f t="shared" si="6"/>
        <v>2016</v>
      </c>
    </row>
    <row r="34" spans="1:2">
      <c r="A34" t="str">
        <f>IF(ISBLANK('3、期末成绩'!A35)," ",MID('3、期末成绩'!A35,1,2))</f>
        <v>16</v>
      </c>
      <c r="B34" t="str">
        <f t="shared" si="6"/>
        <v>2016</v>
      </c>
    </row>
    <row r="35" spans="1:2">
      <c r="A35" t="str">
        <f>IF(ISBLANK('3、期末成绩'!A36)," ",MID('3、期末成绩'!A36,1,2))</f>
        <v>16</v>
      </c>
      <c r="B35" t="str">
        <f t="shared" ref="B35" si="8">IF(A35=" "," ",20&amp;A35)</f>
        <v>2016</v>
      </c>
    </row>
    <row r="36" spans="1:2">
      <c r="A36" t="str">
        <f>IF(ISBLANK('3、期末成绩'!A37)," ",MID('3、期末成绩'!A37,1,2))</f>
        <v>16</v>
      </c>
      <c r="B36" t="str">
        <f t="shared" ref="B36" si="9">IF(A36=" "," ",20&amp;A36)</f>
        <v>2016</v>
      </c>
    </row>
    <row r="37" spans="1:2">
      <c r="A37" t="str">
        <f>IF(ISBLANK('3、期末成绩'!A38)," ",MID('3、期末成绩'!A38,1,2))</f>
        <v>16</v>
      </c>
      <c r="B37" t="str">
        <f t="shared" ref="B37:B65" si="10">IF(A37=" "," ",20&amp;A37)</f>
        <v>2016</v>
      </c>
    </row>
    <row r="38" spans="1:2">
      <c r="A38" t="str">
        <f>IF(ISBLANK('3、期末成绩'!A39)," ",MID('3、期末成绩'!A39,1,2))</f>
        <v>16</v>
      </c>
      <c r="B38" t="str">
        <f t="shared" si="10"/>
        <v>2016</v>
      </c>
    </row>
    <row r="39" spans="1:2">
      <c r="A39" t="str">
        <f>IF(ISBLANK('3、期末成绩'!A40)," ",MID('3、期末成绩'!A40,1,2))</f>
        <v>16</v>
      </c>
      <c r="B39" t="str">
        <f t="shared" si="10"/>
        <v>2016</v>
      </c>
    </row>
    <row r="40" spans="1:2">
      <c r="A40" t="str">
        <f>IF(ISBLANK('3、期末成绩'!A41)," ",MID('3、期末成绩'!A41,1,2))</f>
        <v>16</v>
      </c>
      <c r="B40" t="str">
        <f t="shared" si="10"/>
        <v>2016</v>
      </c>
    </row>
    <row r="41" spans="1:2">
      <c r="A41" t="str">
        <f>IF(ISBLANK('3、期末成绩'!A42)," ",MID('3、期末成绩'!A42,1,2))</f>
        <v>16</v>
      </c>
      <c r="B41" t="str">
        <f t="shared" si="10"/>
        <v>2016</v>
      </c>
    </row>
    <row r="42" spans="1:2">
      <c r="A42" t="str">
        <f>IF(ISBLANK('3、期末成绩'!A43)," ",MID('3、期末成绩'!A43,1,2))</f>
        <v>16</v>
      </c>
      <c r="B42" t="str">
        <f t="shared" si="10"/>
        <v>2016</v>
      </c>
    </row>
    <row r="43" spans="1:2">
      <c r="A43" t="str">
        <f>IF(ISBLANK('3、期末成绩'!A44)," ",MID('3、期末成绩'!A44,1,2))</f>
        <v>16</v>
      </c>
      <c r="B43" t="str">
        <f t="shared" si="10"/>
        <v>2016</v>
      </c>
    </row>
    <row r="44" spans="1:2">
      <c r="A44" t="str">
        <f>IF(ISBLANK('3、期末成绩'!A45)," ",MID('3、期末成绩'!A45,1,2))</f>
        <v>16</v>
      </c>
      <c r="B44" t="str">
        <f t="shared" si="10"/>
        <v>2016</v>
      </c>
    </row>
    <row r="45" spans="1:2">
      <c r="A45" t="str">
        <f>IF(ISBLANK('3、期末成绩'!A46)," ",MID('3、期末成绩'!A46,1,2))</f>
        <v>16</v>
      </c>
      <c r="B45" t="str">
        <f t="shared" si="10"/>
        <v>2016</v>
      </c>
    </row>
    <row r="46" spans="1:2">
      <c r="A46" t="str">
        <f>IF(ISBLANK('3、期末成绩'!A47)," ",MID('3、期末成绩'!A47,1,2))</f>
        <v>16</v>
      </c>
      <c r="B46" t="str">
        <f t="shared" si="10"/>
        <v>2016</v>
      </c>
    </row>
    <row r="47" spans="1:2">
      <c r="A47" t="str">
        <f>IF(ISBLANK('3、期末成绩'!A48)," ",MID('3、期末成绩'!A48,1,2))</f>
        <v>16</v>
      </c>
      <c r="B47" t="str">
        <f t="shared" si="10"/>
        <v>2016</v>
      </c>
    </row>
    <row r="48" spans="1:2">
      <c r="A48" t="str">
        <f>IF(ISBLANK('3、期末成绩'!A49)," ",MID('3、期末成绩'!A49,1,2))</f>
        <v>16</v>
      </c>
      <c r="B48" t="str">
        <f t="shared" si="10"/>
        <v>2016</v>
      </c>
    </row>
    <row r="49" spans="1:2">
      <c r="A49" t="str">
        <f>IF(ISBLANK('3、期末成绩'!A50)," ",MID('3、期末成绩'!A50,1,2))</f>
        <v>16</v>
      </c>
      <c r="B49" t="str">
        <f t="shared" si="10"/>
        <v>2016</v>
      </c>
    </row>
    <row r="50" spans="1:2">
      <c r="A50" t="str">
        <f>IF(ISBLANK('3、期末成绩'!A51)," ",MID('3、期末成绩'!A51,1,2))</f>
        <v>16</v>
      </c>
      <c r="B50" t="str">
        <f t="shared" si="10"/>
        <v>2016</v>
      </c>
    </row>
    <row r="51" spans="1:2">
      <c r="A51" t="str">
        <f>IF(ISBLANK('3、期末成绩'!A52)," ",MID('3、期末成绩'!A52,1,2))</f>
        <v>16</v>
      </c>
      <c r="B51" t="str">
        <f t="shared" si="10"/>
        <v>2016</v>
      </c>
    </row>
    <row r="52" spans="1:2">
      <c r="A52" t="str">
        <f>IF(ISBLANK('3、期末成绩'!A53)," ",MID('3、期末成绩'!A53,1,2))</f>
        <v>16</v>
      </c>
      <c r="B52" t="str">
        <f t="shared" si="10"/>
        <v>2016</v>
      </c>
    </row>
    <row r="53" spans="1:2">
      <c r="A53" t="str">
        <f>IF(ISBLANK('3、期末成绩'!A54)," ",MID('3、期末成绩'!A54,1,2))</f>
        <v>16</v>
      </c>
      <c r="B53" t="str">
        <f t="shared" si="10"/>
        <v>2016</v>
      </c>
    </row>
    <row r="54" spans="1:2">
      <c r="A54" t="str">
        <f>IF(ISBLANK('3、期末成绩'!A55)," ",MID('3、期末成绩'!A55,1,2))</f>
        <v>16</v>
      </c>
      <c r="B54" t="str">
        <f t="shared" si="10"/>
        <v>2016</v>
      </c>
    </row>
    <row r="55" spans="1:2">
      <c r="A55" t="str">
        <f>IF(ISBLANK('3、期末成绩'!A56)," ",MID('3、期末成绩'!A56,1,2))</f>
        <v>16</v>
      </c>
      <c r="B55" t="str">
        <f t="shared" si="10"/>
        <v>2016</v>
      </c>
    </row>
    <row r="56" spans="1:2">
      <c r="A56" t="str">
        <f>IF(ISBLANK('3、期末成绩'!A57)," ",MID('3、期末成绩'!A57,1,2))</f>
        <v>16</v>
      </c>
      <c r="B56" t="str">
        <f t="shared" si="10"/>
        <v>2016</v>
      </c>
    </row>
    <row r="57" spans="1:2">
      <c r="A57" t="str">
        <f>IF(ISBLANK('3、期末成绩'!A58)," ",MID('3、期末成绩'!A58,1,2))</f>
        <v>16</v>
      </c>
      <c r="B57" t="str">
        <f t="shared" si="10"/>
        <v>2016</v>
      </c>
    </row>
    <row r="58" spans="1:2">
      <c r="A58" t="str">
        <f>IF(ISBLANK('3、期末成绩'!A59)," ",MID('3、期末成绩'!A59,1,2))</f>
        <v>16</v>
      </c>
      <c r="B58" t="str">
        <f t="shared" si="10"/>
        <v>2016</v>
      </c>
    </row>
    <row r="59" spans="1:2">
      <c r="A59" t="str">
        <f>IF(ISBLANK('3、期末成绩'!A60)," ",MID('3、期末成绩'!A60,1,2))</f>
        <v>16</v>
      </c>
      <c r="B59" t="str">
        <f t="shared" si="10"/>
        <v>2016</v>
      </c>
    </row>
    <row r="60" spans="1:2">
      <c r="A60" t="str">
        <f>IF(ISBLANK('3、期末成绩'!A61)," ",MID('3、期末成绩'!A61,1,2))</f>
        <v>16</v>
      </c>
      <c r="B60" t="str">
        <f t="shared" si="10"/>
        <v>2016</v>
      </c>
    </row>
    <row r="61" spans="1:2">
      <c r="A61" t="str">
        <f>IF(ISBLANK('3、期末成绩'!A62)," ",MID('3、期末成绩'!A62,1,2))</f>
        <v>16</v>
      </c>
      <c r="B61" t="str">
        <f t="shared" si="10"/>
        <v>2016</v>
      </c>
    </row>
    <row r="62" spans="1:2">
      <c r="A62" t="str">
        <f>IF(ISBLANK('3、期末成绩'!A63)," ",MID('3、期末成绩'!A63,1,2))</f>
        <v>16</v>
      </c>
      <c r="B62" t="str">
        <f t="shared" si="10"/>
        <v>2016</v>
      </c>
    </row>
    <row r="63" spans="1:2">
      <c r="A63" t="str">
        <f>IF(ISBLANK('3、期末成绩'!A64)," ",MID('3、期末成绩'!A64,1,2))</f>
        <v>16</v>
      </c>
      <c r="B63" t="str">
        <f t="shared" si="10"/>
        <v>2016</v>
      </c>
    </row>
    <row r="64" spans="1:2">
      <c r="A64" t="str">
        <f>IF(ISBLANK('3、期末成绩'!A65)," ",MID('3、期末成绩'!A65,1,2))</f>
        <v>16</v>
      </c>
      <c r="B64" t="str">
        <f t="shared" si="10"/>
        <v>2016</v>
      </c>
    </row>
    <row r="65" spans="1:2">
      <c r="A65" t="str">
        <f>IF(ISBLANK('3、期末成绩'!A66)," ",MID('3、期末成绩'!A66,1,2))</f>
        <v>16</v>
      </c>
      <c r="B65" t="str">
        <f t="shared" si="10"/>
        <v>2016</v>
      </c>
    </row>
    <row r="66" spans="1:2">
      <c r="A66" t="str">
        <f>IF(ISBLANK('3、期末成绩'!A67)," ",MID('3、期末成绩'!A67,1,2))</f>
        <v>16</v>
      </c>
      <c r="B66" t="str">
        <f t="shared" ref="B66" si="11">IF(A66=" "," ",20&amp;A66)</f>
        <v>2016</v>
      </c>
    </row>
    <row r="67" spans="1:2">
      <c r="A67" t="str">
        <f>IF(ISBLANK('3、期末成绩'!A68)," ",MID('3、期末成绩'!A68,1,2))</f>
        <v>16</v>
      </c>
      <c r="B67" t="str">
        <f t="shared" ref="B67" si="12">IF(A67=" "," ",20&amp;A67)</f>
        <v>2016</v>
      </c>
    </row>
    <row r="68" spans="1:2">
      <c r="A68" t="str">
        <f>IF(ISBLANK('3、期末成绩'!A69)," ",MID('3、期末成绩'!A69,1,2))</f>
        <v>16</v>
      </c>
      <c r="B68" t="str">
        <f t="shared" ref="B68" si="13">IF(A68=" "," ",20&amp;A68)</f>
        <v>2016</v>
      </c>
    </row>
    <row r="69" spans="1:2">
      <c r="A69" t="str">
        <f>IF(ISBLANK('3、期末成绩'!A70)," ",MID('3、期末成绩'!A70,1,2))</f>
        <v>16</v>
      </c>
      <c r="B69" t="str">
        <f t="shared" ref="B69:B98" si="14">IF(A69=" "," ",20&amp;A69)</f>
        <v>2016</v>
      </c>
    </row>
    <row r="70" spans="1:2">
      <c r="A70" t="str">
        <f>IF(ISBLANK('3、期末成绩'!A71)," ",MID('3、期末成绩'!A71,1,2))</f>
        <v>16</v>
      </c>
      <c r="B70" t="str">
        <f t="shared" si="14"/>
        <v>2016</v>
      </c>
    </row>
    <row r="71" spans="1:2">
      <c r="A71" t="str">
        <f>IF(ISBLANK('3、期末成绩'!A72)," ",MID('3、期末成绩'!A72,1,2))</f>
        <v> </v>
      </c>
      <c r="B71" t="str">
        <f t="shared" si="14"/>
        <v> </v>
      </c>
    </row>
    <row r="72" spans="1:2">
      <c r="A72" t="str">
        <f>IF(ISBLANK('3、期末成绩'!A73)," ",MID('3、期末成绩'!A73,1,2))</f>
        <v> </v>
      </c>
      <c r="B72" t="str">
        <f t="shared" si="14"/>
        <v> </v>
      </c>
    </row>
    <row r="73" spans="1:2">
      <c r="A73" t="str">
        <f>IF(ISBLANK('3、期末成绩'!A74)," ",MID('3、期末成绩'!A74,1,2))</f>
        <v> </v>
      </c>
      <c r="B73" t="str">
        <f t="shared" si="14"/>
        <v> </v>
      </c>
    </row>
    <row r="74" spans="1:2">
      <c r="A74" t="str">
        <f>IF(ISBLANK('3、期末成绩'!A75)," ",MID('3、期末成绩'!A75,1,2))</f>
        <v> </v>
      </c>
      <c r="B74" t="str">
        <f t="shared" si="14"/>
        <v> </v>
      </c>
    </row>
    <row r="75" spans="1:2">
      <c r="A75" t="str">
        <f>IF(ISBLANK('3、期末成绩'!A76)," ",MID('3、期末成绩'!A76,1,2))</f>
        <v> </v>
      </c>
      <c r="B75" t="str">
        <f t="shared" si="14"/>
        <v> </v>
      </c>
    </row>
    <row r="76" spans="1:2">
      <c r="A76" t="str">
        <f>IF(ISBLANK('3、期末成绩'!A77)," ",MID('3、期末成绩'!A77,1,2))</f>
        <v> </v>
      </c>
      <c r="B76" t="str">
        <f t="shared" si="14"/>
        <v> </v>
      </c>
    </row>
    <row r="77" spans="1:2">
      <c r="A77" t="str">
        <f>IF(ISBLANK('3、期末成绩'!A78)," ",MID('3、期末成绩'!A78,1,2))</f>
        <v> </v>
      </c>
      <c r="B77" t="str">
        <f t="shared" si="14"/>
        <v> </v>
      </c>
    </row>
    <row r="78" spans="1:2">
      <c r="A78" t="str">
        <f>IF(ISBLANK('3、期末成绩'!A79)," ",MID('3、期末成绩'!A79,1,2))</f>
        <v> </v>
      </c>
      <c r="B78" t="str">
        <f t="shared" si="14"/>
        <v> </v>
      </c>
    </row>
    <row r="79" spans="1:2">
      <c r="A79" t="str">
        <f>IF(ISBLANK('3、期末成绩'!A80)," ",MID('3、期末成绩'!A80,1,2))</f>
        <v> </v>
      </c>
      <c r="B79" t="str">
        <f t="shared" si="14"/>
        <v> </v>
      </c>
    </row>
    <row r="80" spans="1:2">
      <c r="A80" t="str">
        <f>IF(ISBLANK('3、期末成绩'!A81)," ",MID('3、期末成绩'!A81,1,2))</f>
        <v> </v>
      </c>
      <c r="B80" t="str">
        <f t="shared" si="14"/>
        <v> </v>
      </c>
    </row>
    <row r="81" spans="1:2">
      <c r="A81" t="str">
        <f>IF(ISBLANK('3、期末成绩'!A82)," ",MID('3、期末成绩'!A82,1,2))</f>
        <v> </v>
      </c>
      <c r="B81" t="str">
        <f t="shared" si="14"/>
        <v> </v>
      </c>
    </row>
    <row r="82" spans="1:2">
      <c r="A82" t="str">
        <f>IF(ISBLANK('3、期末成绩'!A83)," ",MID('3、期末成绩'!A83,1,2))</f>
        <v> </v>
      </c>
      <c r="B82" t="str">
        <f t="shared" si="14"/>
        <v> </v>
      </c>
    </row>
    <row r="83" spans="1:2">
      <c r="A83" t="str">
        <f>IF(ISBLANK('3、期末成绩'!A84)," ",MID('3、期末成绩'!A84,1,2))</f>
        <v> </v>
      </c>
      <c r="B83" t="str">
        <f t="shared" si="14"/>
        <v> </v>
      </c>
    </row>
    <row r="84" spans="1:2">
      <c r="A84" t="str">
        <f>IF(ISBLANK('3、期末成绩'!A85)," ",MID('3、期末成绩'!A85,1,2))</f>
        <v> </v>
      </c>
      <c r="B84" t="str">
        <f t="shared" si="14"/>
        <v> </v>
      </c>
    </row>
    <row r="85" spans="1:2">
      <c r="A85" t="str">
        <f>IF(ISBLANK('3、期末成绩'!A86)," ",MID('3、期末成绩'!A86,1,2))</f>
        <v> </v>
      </c>
      <c r="B85" t="str">
        <f t="shared" si="14"/>
        <v> </v>
      </c>
    </row>
    <row r="86" spans="1:2">
      <c r="A86" t="str">
        <f>IF(ISBLANK('3、期末成绩'!A87)," ",MID('3、期末成绩'!A87,1,2))</f>
        <v> </v>
      </c>
      <c r="B86" t="str">
        <f t="shared" si="14"/>
        <v> </v>
      </c>
    </row>
    <row r="87" spans="1:2">
      <c r="A87" t="str">
        <f>IF(ISBLANK('3、期末成绩'!A88)," ",MID('3、期末成绩'!A88,1,2))</f>
        <v> </v>
      </c>
      <c r="B87" t="str">
        <f t="shared" si="14"/>
        <v> </v>
      </c>
    </row>
    <row r="88" spans="1:2">
      <c r="A88" t="str">
        <f>IF(ISBLANK('3、期末成绩'!A89)," ",MID('3、期末成绩'!A89,1,2))</f>
        <v> </v>
      </c>
      <c r="B88" t="str">
        <f t="shared" si="14"/>
        <v> </v>
      </c>
    </row>
    <row r="89" spans="1:2">
      <c r="A89" t="str">
        <f>IF(ISBLANK('3、期末成绩'!A90)," ",MID('3、期末成绩'!A90,1,2))</f>
        <v> </v>
      </c>
      <c r="B89" t="str">
        <f t="shared" si="14"/>
        <v> </v>
      </c>
    </row>
    <row r="90" spans="1:2">
      <c r="A90" t="str">
        <f>IF(ISBLANK('3、期末成绩'!A91)," ",MID('3、期末成绩'!A91,1,2))</f>
        <v> </v>
      </c>
      <c r="B90" t="str">
        <f t="shared" si="14"/>
        <v> </v>
      </c>
    </row>
    <row r="91" spans="1:2">
      <c r="A91" t="str">
        <f>IF(ISBLANK('3、期末成绩'!A92)," ",MID('3、期末成绩'!A92,1,2))</f>
        <v> </v>
      </c>
      <c r="B91" t="str">
        <f t="shared" si="14"/>
        <v> </v>
      </c>
    </row>
    <row r="92" spans="1:2">
      <c r="A92" t="str">
        <f>IF(ISBLANK('3、期末成绩'!A93)," ",MID('3、期末成绩'!A93,1,2))</f>
        <v> </v>
      </c>
      <c r="B92" t="str">
        <f t="shared" si="14"/>
        <v> </v>
      </c>
    </row>
    <row r="93" spans="1:2">
      <c r="A93" t="str">
        <f>IF(ISBLANK('3、期末成绩'!A94)," ",MID('3、期末成绩'!A94,1,2))</f>
        <v> </v>
      </c>
      <c r="B93" t="str">
        <f t="shared" si="14"/>
        <v> </v>
      </c>
    </row>
    <row r="94" spans="1:2">
      <c r="A94" t="str">
        <f>IF(ISBLANK('3、期末成绩'!A95)," ",MID('3、期末成绩'!A95,1,2))</f>
        <v> </v>
      </c>
      <c r="B94" t="str">
        <f t="shared" si="14"/>
        <v> </v>
      </c>
    </row>
    <row r="95" spans="1:2">
      <c r="A95" t="str">
        <f>IF(ISBLANK('3、期末成绩'!A96)," ",MID('3、期末成绩'!A96,1,2))</f>
        <v> </v>
      </c>
      <c r="B95" t="str">
        <f t="shared" si="14"/>
        <v> </v>
      </c>
    </row>
    <row r="96" spans="1:2">
      <c r="A96" t="str">
        <f>IF(ISBLANK('3、期末成绩'!A97)," ",MID('3、期末成绩'!A97,1,2))</f>
        <v> </v>
      </c>
      <c r="B96" t="str">
        <f t="shared" si="14"/>
        <v> </v>
      </c>
    </row>
    <row r="97" spans="1:2">
      <c r="A97" t="str">
        <f>IF(ISBLANK('3、期末成绩'!A98)," ",MID('3、期末成绩'!A98,1,2))</f>
        <v> </v>
      </c>
      <c r="B97" t="str">
        <f t="shared" si="14"/>
        <v> </v>
      </c>
    </row>
    <row r="98" spans="1:2">
      <c r="A98" t="str">
        <f>IF(ISBLANK('3、期末成绩'!A99)," ",MID('3、期末成绩'!A99,1,2))</f>
        <v> </v>
      </c>
      <c r="B98" t="str">
        <f t="shared" si="14"/>
        <v> </v>
      </c>
    </row>
    <row r="99" spans="1:2">
      <c r="A99" t="str">
        <f>IF(ISBLANK('3、期末成绩'!A100)," ",MID('3、期末成绩'!A100,1,2))</f>
        <v> </v>
      </c>
      <c r="B99" t="str">
        <f t="shared" ref="B99" si="15">IF(A99=" "," ",20&amp;A99)</f>
        <v> </v>
      </c>
    </row>
    <row r="100" spans="1:2">
      <c r="A100" t="str">
        <f>IF(ISBLANK('3、期末成绩'!A101)," ",MID('3、期末成绩'!A101,1,2))</f>
        <v> </v>
      </c>
      <c r="B100" t="str">
        <f t="shared" ref="B100" si="16">IF(A100=" "," ",20&amp;A100)</f>
        <v> </v>
      </c>
    </row>
    <row r="101" spans="1:2">
      <c r="A101" t="str">
        <f>IF(ISBLANK('3、期末成绩'!A102)," ",MID('3、期末成绩'!A102,1,2))</f>
        <v> </v>
      </c>
      <c r="B101" t="str">
        <f t="shared" ref="B101:B129" si="17">IF(A101=" "," ",20&amp;A101)</f>
        <v> </v>
      </c>
    </row>
    <row r="102" spans="1:2">
      <c r="A102" t="str">
        <f>IF(ISBLANK('3、期末成绩'!A103)," ",MID('3、期末成绩'!A103,1,2))</f>
        <v> </v>
      </c>
      <c r="B102" t="str">
        <f t="shared" si="17"/>
        <v> </v>
      </c>
    </row>
    <row r="103" spans="1:2">
      <c r="A103" t="str">
        <f>IF(ISBLANK('3、期末成绩'!A104)," ",MID('3、期末成绩'!A104,1,2))</f>
        <v> </v>
      </c>
      <c r="B103" t="str">
        <f t="shared" si="17"/>
        <v> </v>
      </c>
    </row>
    <row r="104" spans="1:2">
      <c r="A104" t="str">
        <f>IF(ISBLANK('3、期末成绩'!A105)," ",MID('3、期末成绩'!A105,1,2))</f>
        <v> </v>
      </c>
      <c r="B104" t="str">
        <f t="shared" si="17"/>
        <v> </v>
      </c>
    </row>
    <row r="105" spans="1:2">
      <c r="A105" t="str">
        <f>IF(ISBLANK('3、期末成绩'!A106)," ",MID('3、期末成绩'!A106,1,2))</f>
        <v> </v>
      </c>
      <c r="B105" t="str">
        <f t="shared" si="17"/>
        <v> </v>
      </c>
    </row>
    <row r="106" spans="1:2">
      <c r="A106" t="str">
        <f>IF(ISBLANK('3、期末成绩'!A107)," ",MID('3、期末成绩'!A107,1,2))</f>
        <v> </v>
      </c>
      <c r="B106" t="str">
        <f t="shared" si="17"/>
        <v> </v>
      </c>
    </row>
    <row r="107" spans="1:2">
      <c r="A107" t="str">
        <f>IF(ISBLANK('3、期末成绩'!A108)," ",MID('3、期末成绩'!A108,1,2))</f>
        <v> </v>
      </c>
      <c r="B107" t="str">
        <f t="shared" si="17"/>
        <v> </v>
      </c>
    </row>
    <row r="108" spans="1:2">
      <c r="A108" t="str">
        <f>IF(ISBLANK('3、期末成绩'!A109)," ",MID('3、期末成绩'!A109,1,2))</f>
        <v> </v>
      </c>
      <c r="B108" t="str">
        <f t="shared" si="17"/>
        <v> </v>
      </c>
    </row>
    <row r="109" spans="1:2">
      <c r="A109" t="str">
        <f>IF(ISBLANK('3、期末成绩'!A110)," ",MID('3、期末成绩'!A110,1,2))</f>
        <v> </v>
      </c>
      <c r="B109" t="str">
        <f t="shared" si="17"/>
        <v> </v>
      </c>
    </row>
    <row r="110" spans="1:2">
      <c r="A110" t="str">
        <f>IF(ISBLANK('3、期末成绩'!A111)," ",MID('3、期末成绩'!A111,1,2))</f>
        <v> </v>
      </c>
      <c r="B110" t="str">
        <f t="shared" si="17"/>
        <v> </v>
      </c>
    </row>
    <row r="111" spans="1:2">
      <c r="A111" t="str">
        <f>IF(ISBLANK('3、期末成绩'!A112)," ",MID('3、期末成绩'!A112,1,2))</f>
        <v> </v>
      </c>
      <c r="B111" t="str">
        <f t="shared" si="17"/>
        <v> </v>
      </c>
    </row>
    <row r="112" spans="1:2">
      <c r="A112" t="str">
        <f>IF(ISBLANK('3、期末成绩'!A113)," ",MID('3、期末成绩'!A113,1,2))</f>
        <v> </v>
      </c>
      <c r="B112" t="str">
        <f t="shared" si="17"/>
        <v> </v>
      </c>
    </row>
    <row r="113" spans="1:2">
      <c r="A113" t="str">
        <f>IF(ISBLANK('3、期末成绩'!A114)," ",MID('3、期末成绩'!A114,1,2))</f>
        <v> </v>
      </c>
      <c r="B113" t="str">
        <f t="shared" si="17"/>
        <v> </v>
      </c>
    </row>
    <row r="114" spans="1:2">
      <c r="A114" t="str">
        <f>IF(ISBLANK('3、期末成绩'!A115)," ",MID('3、期末成绩'!A115,1,2))</f>
        <v> </v>
      </c>
      <c r="B114" t="str">
        <f t="shared" si="17"/>
        <v> </v>
      </c>
    </row>
    <row r="115" spans="1:2">
      <c r="A115" t="str">
        <f>IF(ISBLANK('3、期末成绩'!A116)," ",MID('3、期末成绩'!A116,1,2))</f>
        <v> </v>
      </c>
      <c r="B115" t="str">
        <f t="shared" si="17"/>
        <v> </v>
      </c>
    </row>
    <row r="116" spans="1:2">
      <c r="A116" t="str">
        <f>IF(ISBLANK('3、期末成绩'!A117)," ",MID('3、期末成绩'!A117,1,2))</f>
        <v> </v>
      </c>
      <c r="B116" t="str">
        <f t="shared" si="17"/>
        <v> </v>
      </c>
    </row>
    <row r="117" spans="1:2">
      <c r="A117" t="str">
        <f>IF(ISBLANK('3、期末成绩'!A118)," ",MID('3、期末成绩'!A118,1,2))</f>
        <v> </v>
      </c>
      <c r="B117" t="str">
        <f t="shared" si="17"/>
        <v> </v>
      </c>
    </row>
    <row r="118" spans="1:2">
      <c r="A118" t="str">
        <f>IF(ISBLANK('3、期末成绩'!A119)," ",MID('3、期末成绩'!A119,1,2))</f>
        <v> </v>
      </c>
      <c r="B118" t="str">
        <f t="shared" si="17"/>
        <v> </v>
      </c>
    </row>
    <row r="119" spans="1:2">
      <c r="A119" t="str">
        <f>IF(ISBLANK('3、期末成绩'!A120)," ",MID('3、期末成绩'!A120,1,2))</f>
        <v> </v>
      </c>
      <c r="B119" t="str">
        <f t="shared" si="17"/>
        <v> </v>
      </c>
    </row>
    <row r="120" spans="1:2">
      <c r="A120" t="str">
        <f>IF(ISBLANK('3、期末成绩'!A121)," ",MID('3、期末成绩'!A121,1,2))</f>
        <v> </v>
      </c>
      <c r="B120" t="str">
        <f t="shared" si="17"/>
        <v> </v>
      </c>
    </row>
    <row r="121" spans="1:2">
      <c r="A121" t="str">
        <f>IF(ISBLANK('3、期末成绩'!A122)," ",MID('3、期末成绩'!A122,1,2))</f>
        <v> </v>
      </c>
      <c r="B121" t="str">
        <f t="shared" si="17"/>
        <v> </v>
      </c>
    </row>
    <row r="122" spans="1:2">
      <c r="A122" t="str">
        <f>IF(ISBLANK('3、期末成绩'!A123)," ",MID('3、期末成绩'!A123,1,2))</f>
        <v> </v>
      </c>
      <c r="B122" t="str">
        <f t="shared" si="17"/>
        <v> </v>
      </c>
    </row>
    <row r="123" spans="1:2">
      <c r="A123" t="str">
        <f>IF(ISBLANK('3、期末成绩'!A124)," ",MID('3、期末成绩'!A124,1,2))</f>
        <v> </v>
      </c>
      <c r="B123" t="str">
        <f t="shared" si="17"/>
        <v> </v>
      </c>
    </row>
    <row r="124" spans="1:2">
      <c r="A124" t="str">
        <f>IF(ISBLANK('3、期末成绩'!A125)," ",MID('3、期末成绩'!A125,1,2))</f>
        <v> </v>
      </c>
      <c r="B124" t="str">
        <f t="shared" si="17"/>
        <v> </v>
      </c>
    </row>
    <row r="125" spans="1:2">
      <c r="A125" t="str">
        <f>IF(ISBLANK('3、期末成绩'!A126)," ",MID('3、期末成绩'!A126,1,2))</f>
        <v> </v>
      </c>
      <c r="B125" t="str">
        <f t="shared" si="17"/>
        <v> </v>
      </c>
    </row>
    <row r="126" spans="1:2">
      <c r="A126" t="str">
        <f>IF(ISBLANK('3、期末成绩'!A127)," ",MID('3、期末成绩'!A127,1,2))</f>
        <v> </v>
      </c>
      <c r="B126" t="str">
        <f t="shared" si="17"/>
        <v> </v>
      </c>
    </row>
    <row r="127" spans="1:2">
      <c r="A127" t="str">
        <f>IF(ISBLANK('3、期末成绩'!A128)," ",MID('3、期末成绩'!A128,1,2))</f>
        <v> </v>
      </c>
      <c r="B127" t="str">
        <f t="shared" si="17"/>
        <v> </v>
      </c>
    </row>
    <row r="128" spans="1:2">
      <c r="A128" t="str">
        <f>IF(ISBLANK('3、期末成绩'!A129)," ",MID('3、期末成绩'!A129,1,2))</f>
        <v> </v>
      </c>
      <c r="B128" t="str">
        <f t="shared" si="17"/>
        <v> </v>
      </c>
    </row>
    <row r="129" spans="1:2">
      <c r="A129" t="str">
        <f>IF(ISBLANK('3、期末成绩'!A130)," ",MID('3、期末成绩'!A130,1,2))</f>
        <v> </v>
      </c>
      <c r="B129" t="str">
        <f t="shared" si="17"/>
        <v> </v>
      </c>
    </row>
    <row r="130" spans="1:2">
      <c r="A130" t="str">
        <f>IF(ISBLANK('3、期末成绩'!A131)," ",MID('3、期末成绩'!A131,1,2))</f>
        <v> </v>
      </c>
      <c r="B130" t="str">
        <f t="shared" ref="B130" si="18">IF(A130=" "," ",20&amp;A130)</f>
        <v> </v>
      </c>
    </row>
    <row r="131" spans="1:2">
      <c r="A131" t="str">
        <f>IF(ISBLANK('3、期末成绩'!A132)," ",MID('3、期末成绩'!A132,1,2))</f>
        <v> </v>
      </c>
      <c r="B131" t="str">
        <f t="shared" ref="B131" si="19">IF(A131=" "," ",20&amp;A131)</f>
        <v> </v>
      </c>
    </row>
    <row r="132" spans="1:2">
      <c r="A132" t="str">
        <f>IF(ISBLANK('3、期末成绩'!A133)," ",MID('3、期末成绩'!A133,1,2))</f>
        <v> </v>
      </c>
      <c r="B132" t="str">
        <f t="shared" ref="B132" si="20">IF(A132=" "," ",20&amp;A132)</f>
        <v> </v>
      </c>
    </row>
    <row r="133" spans="1:2">
      <c r="A133" t="str">
        <f>IF(ISBLANK('3、期末成绩'!A134)," ",MID('3、期末成绩'!A134,1,2))</f>
        <v> </v>
      </c>
      <c r="B133" t="str">
        <f t="shared" ref="B133:B162" si="21">IF(A133=" "," ",20&amp;A133)</f>
        <v> </v>
      </c>
    </row>
    <row r="134" spans="1:2">
      <c r="A134" t="str">
        <f>IF(ISBLANK('3、期末成绩'!A135)," ",MID('3、期末成绩'!A135,1,2))</f>
        <v> </v>
      </c>
      <c r="B134" t="str">
        <f t="shared" si="21"/>
        <v> </v>
      </c>
    </row>
    <row r="135" spans="1:2">
      <c r="A135" t="str">
        <f>IF(ISBLANK('3、期末成绩'!A136)," ",MID('3、期末成绩'!A136,1,2))</f>
        <v> </v>
      </c>
      <c r="B135" t="str">
        <f t="shared" si="21"/>
        <v> </v>
      </c>
    </row>
    <row r="136" spans="1:2">
      <c r="A136" t="str">
        <f>IF(ISBLANK('3、期末成绩'!A137)," ",MID('3、期末成绩'!A137,1,2))</f>
        <v> </v>
      </c>
      <c r="B136" t="str">
        <f t="shared" si="21"/>
        <v> </v>
      </c>
    </row>
    <row r="137" spans="1:2">
      <c r="A137" t="str">
        <f>IF(ISBLANK('3、期末成绩'!A138)," ",MID('3、期末成绩'!A138,1,2))</f>
        <v> </v>
      </c>
      <c r="B137" t="str">
        <f t="shared" si="21"/>
        <v> </v>
      </c>
    </row>
    <row r="138" spans="1:2">
      <c r="A138" t="str">
        <f>IF(ISBLANK('3、期末成绩'!A139)," ",MID('3、期末成绩'!A139,1,2))</f>
        <v> </v>
      </c>
      <c r="B138" t="str">
        <f t="shared" si="21"/>
        <v> </v>
      </c>
    </row>
    <row r="139" spans="1:2">
      <c r="A139" t="str">
        <f>IF(ISBLANK('3、期末成绩'!A140)," ",MID('3、期末成绩'!A140,1,2))</f>
        <v> </v>
      </c>
      <c r="B139" t="str">
        <f t="shared" si="21"/>
        <v> </v>
      </c>
    </row>
    <row r="140" spans="1:2">
      <c r="A140" t="str">
        <f>IF(ISBLANK('3、期末成绩'!A141)," ",MID('3、期末成绩'!A141,1,2))</f>
        <v> </v>
      </c>
      <c r="B140" t="str">
        <f t="shared" si="21"/>
        <v> </v>
      </c>
    </row>
    <row r="141" spans="1:2">
      <c r="A141" t="str">
        <f>IF(ISBLANK('3、期末成绩'!A142)," ",MID('3、期末成绩'!A142,1,2))</f>
        <v> </v>
      </c>
      <c r="B141" t="str">
        <f t="shared" si="21"/>
        <v> </v>
      </c>
    </row>
    <row r="142" spans="1:2">
      <c r="A142" t="str">
        <f>IF(ISBLANK('3、期末成绩'!A143)," ",MID('3、期末成绩'!A143,1,2))</f>
        <v> </v>
      </c>
      <c r="B142" t="str">
        <f t="shared" si="21"/>
        <v> </v>
      </c>
    </row>
    <row r="143" spans="1:2">
      <c r="A143" t="str">
        <f>IF(ISBLANK('3、期末成绩'!A144)," ",MID('3、期末成绩'!A144,1,2))</f>
        <v> </v>
      </c>
      <c r="B143" t="str">
        <f t="shared" si="21"/>
        <v> </v>
      </c>
    </row>
    <row r="144" spans="1:2">
      <c r="A144" t="str">
        <f>IF(ISBLANK('3、期末成绩'!A145)," ",MID('3、期末成绩'!A145,1,2))</f>
        <v> </v>
      </c>
      <c r="B144" t="str">
        <f t="shared" si="21"/>
        <v> </v>
      </c>
    </row>
    <row r="145" spans="1:2">
      <c r="A145" t="str">
        <f>IF(ISBLANK('3、期末成绩'!A146)," ",MID('3、期末成绩'!A146,1,2))</f>
        <v> </v>
      </c>
      <c r="B145" t="str">
        <f t="shared" si="21"/>
        <v> </v>
      </c>
    </row>
    <row r="146" spans="1:2">
      <c r="A146" t="str">
        <f>IF(ISBLANK('3、期末成绩'!A147)," ",MID('3、期末成绩'!A147,1,2))</f>
        <v> </v>
      </c>
      <c r="B146" t="str">
        <f t="shared" si="21"/>
        <v> </v>
      </c>
    </row>
    <row r="147" spans="1:2">
      <c r="A147" t="str">
        <f>IF(ISBLANK('3、期末成绩'!A148)," ",MID('3、期末成绩'!A148,1,2))</f>
        <v> </v>
      </c>
      <c r="B147" t="str">
        <f t="shared" si="21"/>
        <v> </v>
      </c>
    </row>
    <row r="148" spans="1:2">
      <c r="A148" t="str">
        <f>IF(ISBLANK('3、期末成绩'!A149)," ",MID('3、期末成绩'!A149,1,2))</f>
        <v> </v>
      </c>
      <c r="B148" t="str">
        <f t="shared" si="21"/>
        <v> </v>
      </c>
    </row>
    <row r="149" spans="1:2">
      <c r="A149" t="str">
        <f>IF(ISBLANK('3、期末成绩'!A150)," ",MID('3、期末成绩'!A150,1,2))</f>
        <v> </v>
      </c>
      <c r="B149" t="str">
        <f t="shared" si="21"/>
        <v> </v>
      </c>
    </row>
    <row r="150" spans="1:2">
      <c r="A150" t="str">
        <f>IF(ISBLANK('3、期末成绩'!A151)," ",MID('3、期末成绩'!A151,1,2))</f>
        <v> </v>
      </c>
      <c r="B150" t="str">
        <f t="shared" si="21"/>
        <v> </v>
      </c>
    </row>
    <row r="151" spans="1:2">
      <c r="A151" t="str">
        <f>IF(ISBLANK('3、期末成绩'!A152)," ",MID('3、期末成绩'!A152,1,2))</f>
        <v> </v>
      </c>
      <c r="B151" t="str">
        <f t="shared" si="21"/>
        <v> </v>
      </c>
    </row>
    <row r="152" spans="1:2">
      <c r="A152" t="str">
        <f>IF(ISBLANK('3、期末成绩'!A153)," ",MID('3、期末成绩'!A153,1,2))</f>
        <v> </v>
      </c>
      <c r="B152" t="str">
        <f t="shared" si="21"/>
        <v> </v>
      </c>
    </row>
    <row r="153" spans="1:2">
      <c r="A153" t="str">
        <f>IF(ISBLANK('3、期末成绩'!A154)," ",MID('3、期末成绩'!A154,1,2))</f>
        <v> </v>
      </c>
      <c r="B153" t="str">
        <f t="shared" si="21"/>
        <v> </v>
      </c>
    </row>
    <row r="154" spans="1:2">
      <c r="A154" t="str">
        <f>IF(ISBLANK('3、期末成绩'!A155)," ",MID('3、期末成绩'!A155,1,2))</f>
        <v> </v>
      </c>
      <c r="B154" t="str">
        <f t="shared" si="21"/>
        <v> </v>
      </c>
    </row>
    <row r="155" spans="1:2">
      <c r="A155" t="str">
        <f>IF(ISBLANK('3、期末成绩'!A156)," ",MID('3、期末成绩'!A156,1,2))</f>
        <v> </v>
      </c>
      <c r="B155" t="str">
        <f t="shared" si="21"/>
        <v> </v>
      </c>
    </row>
    <row r="156" spans="1:2">
      <c r="A156" t="str">
        <f>IF(ISBLANK('3、期末成绩'!A157)," ",MID('3、期末成绩'!A157,1,2))</f>
        <v> </v>
      </c>
      <c r="B156" t="str">
        <f t="shared" si="21"/>
        <v> </v>
      </c>
    </row>
    <row r="157" spans="1:2">
      <c r="A157" t="str">
        <f>IF(ISBLANK('3、期末成绩'!A158)," ",MID('3、期末成绩'!A158,1,2))</f>
        <v> </v>
      </c>
      <c r="B157" t="str">
        <f t="shared" si="21"/>
        <v> </v>
      </c>
    </row>
    <row r="158" spans="1:2">
      <c r="A158" t="str">
        <f>IF(ISBLANK('3、期末成绩'!A159)," ",MID('3、期末成绩'!A159,1,2))</f>
        <v> </v>
      </c>
      <c r="B158" t="str">
        <f t="shared" si="21"/>
        <v> </v>
      </c>
    </row>
    <row r="159" spans="1:2">
      <c r="A159" t="str">
        <f>IF(ISBLANK('3、期末成绩'!A160)," ",MID('3、期末成绩'!A160,1,2))</f>
        <v> </v>
      </c>
      <c r="B159" t="str">
        <f t="shared" si="21"/>
        <v> </v>
      </c>
    </row>
    <row r="160" spans="1:2">
      <c r="A160" t="str">
        <f>IF(ISBLANK('3、期末成绩'!A161)," ",MID('3、期末成绩'!A161,1,2))</f>
        <v> </v>
      </c>
      <c r="B160" t="str">
        <f t="shared" si="21"/>
        <v> </v>
      </c>
    </row>
    <row r="161" spans="1:2">
      <c r="A161" t="str">
        <f>IF(ISBLANK('3、期末成绩'!A162)," ",MID('3、期末成绩'!A162,1,2))</f>
        <v> </v>
      </c>
      <c r="B161" t="str">
        <f t="shared" si="21"/>
        <v> </v>
      </c>
    </row>
    <row r="162" spans="1:2">
      <c r="A162" t="str">
        <f>IF(ISBLANK('3、期末成绩'!A163)," ",MID('3、期末成绩'!A163,1,2))</f>
        <v> </v>
      </c>
      <c r="B162" t="str">
        <f t="shared" si="21"/>
        <v> </v>
      </c>
    </row>
    <row r="163" spans="1:2">
      <c r="A163" t="str">
        <f>IF(ISBLANK('3、期末成绩'!A164)," ",MID('3、期末成绩'!A164,1,2))</f>
        <v> </v>
      </c>
      <c r="B163" t="str">
        <f t="shared" ref="B163" si="22">IF(A163=" "," ",20&amp;A163)</f>
        <v> </v>
      </c>
    </row>
    <row r="164" spans="1:2">
      <c r="A164" t="str">
        <f>IF(ISBLANK('3、期末成绩'!A165)," ",MID('3、期末成绩'!A165,1,2))</f>
        <v> </v>
      </c>
      <c r="B164" t="str">
        <f t="shared" ref="B164" si="23">IF(A164=" "," ",20&amp;A164)</f>
        <v> </v>
      </c>
    </row>
    <row r="165" spans="1:2">
      <c r="A165" t="str">
        <f>IF(ISBLANK('3、期末成绩'!A166)," ",MID('3、期末成绩'!A166,1,2))</f>
        <v> </v>
      </c>
      <c r="B165" t="str">
        <f t="shared" ref="B165:B193" si="24">IF(A165=" "," ",20&amp;A165)</f>
        <v> </v>
      </c>
    </row>
    <row r="166" spans="1:2">
      <c r="A166" t="str">
        <f>IF(ISBLANK('3、期末成绩'!A167)," ",MID('3、期末成绩'!A167,1,2))</f>
        <v> </v>
      </c>
      <c r="B166" t="str">
        <f t="shared" si="24"/>
        <v> </v>
      </c>
    </row>
    <row r="167" spans="1:2">
      <c r="A167" t="str">
        <f>IF(ISBLANK('3、期末成绩'!A168)," ",MID('3、期末成绩'!A168,1,2))</f>
        <v> </v>
      </c>
      <c r="B167" t="str">
        <f t="shared" si="24"/>
        <v> </v>
      </c>
    </row>
    <row r="168" spans="1:2">
      <c r="A168" t="str">
        <f>IF(ISBLANK('3、期末成绩'!A169)," ",MID('3、期末成绩'!A169,1,2))</f>
        <v> </v>
      </c>
      <c r="B168" t="str">
        <f t="shared" si="24"/>
        <v> </v>
      </c>
    </row>
    <row r="169" spans="1:2">
      <c r="A169" t="str">
        <f>IF(ISBLANK('3、期末成绩'!A170)," ",MID('3、期末成绩'!A170,1,2))</f>
        <v> </v>
      </c>
      <c r="B169" t="str">
        <f t="shared" si="24"/>
        <v> </v>
      </c>
    </row>
    <row r="170" spans="1:2">
      <c r="A170" t="str">
        <f>IF(ISBLANK('3、期末成绩'!A171)," ",MID('3、期末成绩'!A171,1,2))</f>
        <v> </v>
      </c>
      <c r="B170" t="str">
        <f t="shared" si="24"/>
        <v> </v>
      </c>
    </row>
    <row r="171" spans="1:2">
      <c r="A171" t="str">
        <f>IF(ISBLANK('3、期末成绩'!A172)," ",MID('3、期末成绩'!A172,1,2))</f>
        <v> </v>
      </c>
      <c r="B171" t="str">
        <f t="shared" si="24"/>
        <v> </v>
      </c>
    </row>
    <row r="172" spans="1:2">
      <c r="A172" t="str">
        <f>IF(ISBLANK('3、期末成绩'!A173)," ",MID('3、期末成绩'!A173,1,2))</f>
        <v> </v>
      </c>
      <c r="B172" t="str">
        <f t="shared" si="24"/>
        <v> </v>
      </c>
    </row>
    <row r="173" spans="1:2">
      <c r="A173" t="str">
        <f>IF(ISBLANK('3、期末成绩'!A174)," ",MID('3、期末成绩'!A174,1,2))</f>
        <v> </v>
      </c>
      <c r="B173" t="str">
        <f t="shared" si="24"/>
        <v> </v>
      </c>
    </row>
    <row r="174" spans="1:2">
      <c r="A174" t="str">
        <f>IF(ISBLANK('3、期末成绩'!A175)," ",MID('3、期末成绩'!A175,1,2))</f>
        <v> </v>
      </c>
      <c r="B174" t="str">
        <f t="shared" si="24"/>
        <v> </v>
      </c>
    </row>
    <row r="175" spans="1:2">
      <c r="A175" t="str">
        <f>IF(ISBLANK('3、期末成绩'!A176)," ",MID('3、期末成绩'!A176,1,2))</f>
        <v> </v>
      </c>
      <c r="B175" t="str">
        <f t="shared" si="24"/>
        <v> </v>
      </c>
    </row>
    <row r="176" spans="1:2">
      <c r="A176" t="str">
        <f>IF(ISBLANK('3、期末成绩'!A177)," ",MID('3、期末成绩'!A177,1,2))</f>
        <v> </v>
      </c>
      <c r="B176" t="str">
        <f t="shared" si="24"/>
        <v> </v>
      </c>
    </row>
    <row r="177" spans="1:2">
      <c r="A177" t="str">
        <f>IF(ISBLANK('3、期末成绩'!A178)," ",MID('3、期末成绩'!A178,1,2))</f>
        <v> </v>
      </c>
      <c r="B177" t="str">
        <f t="shared" si="24"/>
        <v> </v>
      </c>
    </row>
    <row r="178" spans="1:2">
      <c r="A178" t="str">
        <f>IF(ISBLANK('3、期末成绩'!A179)," ",MID('3、期末成绩'!A179,1,2))</f>
        <v> </v>
      </c>
      <c r="B178" t="str">
        <f t="shared" si="24"/>
        <v> </v>
      </c>
    </row>
    <row r="179" spans="1:2">
      <c r="A179" t="str">
        <f>IF(ISBLANK('3、期末成绩'!A180)," ",MID('3、期末成绩'!A180,1,2))</f>
        <v> </v>
      </c>
      <c r="B179" t="str">
        <f t="shared" si="24"/>
        <v> </v>
      </c>
    </row>
    <row r="180" spans="1:2">
      <c r="A180" t="str">
        <f>IF(ISBLANK('3、期末成绩'!A181)," ",MID('3、期末成绩'!A181,1,2))</f>
        <v> </v>
      </c>
      <c r="B180" t="str">
        <f t="shared" si="24"/>
        <v> </v>
      </c>
    </row>
    <row r="181" spans="1:2">
      <c r="A181" t="str">
        <f>IF(ISBLANK('3、期末成绩'!A182)," ",MID('3、期末成绩'!A182,1,2))</f>
        <v> </v>
      </c>
      <c r="B181" t="str">
        <f t="shared" si="24"/>
        <v> </v>
      </c>
    </row>
    <row r="182" spans="1:2">
      <c r="A182" t="str">
        <f>IF(ISBLANK('3、期末成绩'!A183)," ",MID('3、期末成绩'!A183,1,2))</f>
        <v> </v>
      </c>
      <c r="B182" t="str">
        <f t="shared" si="24"/>
        <v> </v>
      </c>
    </row>
    <row r="183" spans="1:2">
      <c r="A183" t="str">
        <f>IF(ISBLANK('3、期末成绩'!A184)," ",MID('3、期末成绩'!A184,1,2))</f>
        <v> </v>
      </c>
      <c r="B183" t="str">
        <f t="shared" si="24"/>
        <v> </v>
      </c>
    </row>
    <row r="184" spans="1:2">
      <c r="A184" t="str">
        <f>IF(ISBLANK('3、期末成绩'!A185)," ",MID('3、期末成绩'!A185,1,2))</f>
        <v> </v>
      </c>
      <c r="B184" t="str">
        <f t="shared" si="24"/>
        <v> </v>
      </c>
    </row>
    <row r="185" spans="1:2">
      <c r="A185" t="str">
        <f>IF(ISBLANK('3、期末成绩'!A186)," ",MID('3、期末成绩'!A186,1,2))</f>
        <v> </v>
      </c>
      <c r="B185" t="str">
        <f t="shared" si="24"/>
        <v> </v>
      </c>
    </row>
    <row r="186" spans="1:2">
      <c r="A186" t="str">
        <f>IF(ISBLANK('3、期末成绩'!A187)," ",MID('3、期末成绩'!A187,1,2))</f>
        <v> </v>
      </c>
      <c r="B186" t="str">
        <f t="shared" si="24"/>
        <v> </v>
      </c>
    </row>
    <row r="187" spans="1:2">
      <c r="A187" t="str">
        <f>IF(ISBLANK('3、期末成绩'!A188)," ",MID('3、期末成绩'!A188,1,2))</f>
        <v> </v>
      </c>
      <c r="B187" t="str">
        <f t="shared" si="24"/>
        <v> </v>
      </c>
    </row>
    <row r="188" spans="1:2">
      <c r="A188" t="str">
        <f>IF(ISBLANK('3、期末成绩'!A189)," ",MID('3、期末成绩'!A189,1,2))</f>
        <v> </v>
      </c>
      <c r="B188" t="str">
        <f t="shared" si="24"/>
        <v> </v>
      </c>
    </row>
    <row r="189" spans="1:2">
      <c r="A189" t="str">
        <f>IF(ISBLANK('3、期末成绩'!A190)," ",MID('3、期末成绩'!A190,1,2))</f>
        <v> </v>
      </c>
      <c r="B189" t="str">
        <f t="shared" si="24"/>
        <v> </v>
      </c>
    </row>
    <row r="190" spans="1:2">
      <c r="A190" t="str">
        <f>IF(ISBLANK('3、期末成绩'!A191)," ",MID('3、期末成绩'!A191,1,2))</f>
        <v> </v>
      </c>
      <c r="B190" t="str">
        <f t="shared" si="24"/>
        <v> </v>
      </c>
    </row>
    <row r="191" spans="1:2">
      <c r="A191" t="str">
        <f>IF(ISBLANK('3、期末成绩'!A192)," ",MID('3、期末成绩'!A192,1,2))</f>
        <v> </v>
      </c>
      <c r="B191" t="str">
        <f t="shared" si="24"/>
        <v> </v>
      </c>
    </row>
    <row r="192" spans="1:2">
      <c r="A192" t="str">
        <f>IF(ISBLANK('3、期末成绩'!A193)," ",MID('3、期末成绩'!A193,1,2))</f>
        <v> </v>
      </c>
      <c r="B192" t="str">
        <f t="shared" si="24"/>
        <v> </v>
      </c>
    </row>
    <row r="193" spans="1:2">
      <c r="A193" t="str">
        <f>IF(ISBLANK('3、期末成绩'!A194)," ",MID('3、期末成绩'!A194,1,2))</f>
        <v> </v>
      </c>
      <c r="B193" t="str">
        <f t="shared" si="24"/>
        <v> </v>
      </c>
    </row>
    <row r="194" spans="1:2">
      <c r="A194" t="str">
        <f>IF(ISBLANK('3、期末成绩'!A195)," ",MID('3、期末成绩'!A195,1,2))</f>
        <v> </v>
      </c>
      <c r="B194" t="str">
        <f t="shared" ref="B194" si="25">IF(A194=" "," ",20&amp;A194)</f>
        <v> </v>
      </c>
    </row>
    <row r="195" spans="1:2">
      <c r="A195" t="str">
        <f>IF(ISBLANK('3、期末成绩'!A196)," ",MID('3、期末成绩'!A196,1,2))</f>
        <v> </v>
      </c>
      <c r="B195" t="str">
        <f t="shared" ref="B195:B200" si="26">IF(A195=" "," ",20&amp;A195)</f>
        <v> </v>
      </c>
    </row>
    <row r="196" spans="1:2">
      <c r="A196" t="str">
        <f>IF(ISBLANK('3、期末成绩'!A197)," ",MID('3、期末成绩'!A197,1,2))</f>
        <v> </v>
      </c>
      <c r="B196" t="str">
        <f t="shared" si="26"/>
        <v> </v>
      </c>
    </row>
    <row r="197" spans="1:2">
      <c r="A197" t="str">
        <f>IF(ISBLANK('3、期末成绩'!A198)," ",MID('3、期末成绩'!A198,1,2))</f>
        <v> </v>
      </c>
      <c r="B197" t="str">
        <f t="shared" si="26"/>
        <v> </v>
      </c>
    </row>
    <row r="198" spans="1:2">
      <c r="A198" t="str">
        <f>IF(ISBLANK('3、期末成绩'!A199)," ",MID('3、期末成绩'!A199,1,2))</f>
        <v> </v>
      </c>
      <c r="B198" t="str">
        <f t="shared" si="26"/>
        <v> </v>
      </c>
    </row>
    <row r="199" spans="1:2">
      <c r="A199" t="str">
        <f>IF(ISBLANK('3、期末成绩'!A200)," ",MID('3、期末成绩'!A200,1,2))</f>
        <v> </v>
      </c>
      <c r="B199" t="str">
        <f t="shared" si="26"/>
        <v> </v>
      </c>
    </row>
    <row r="200" spans="1:2">
      <c r="A200" t="str">
        <f>IF(ISBLANK('3、期末成绩'!A201)," ",MID('3、期末成绩'!A201,1,2))</f>
        <v> </v>
      </c>
      <c r="B200" t="str">
        <f t="shared" si="26"/>
        <v> </v>
      </c>
    </row>
  </sheetData>
  <sheetProtection password="882D" sheet="1" formatCells="0" formatColumns="0" formatRows="0" insertRows="0" insertColumns="0" insertHyperlinks="0" deleteColumns="0" deleteRows="0" sort="0" autoFilter="0" pivotTables="0"/>
  <pageMargins left="0.699305555555556" right="0.699305555555556" top="0.75" bottom="0.75" header="0.3" footer="0.3"/>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92D050"/>
  </sheetPr>
  <dimension ref="A1:CP201"/>
  <sheetViews>
    <sheetView workbookViewId="0">
      <pane xSplit="2" ySplit="1" topLeftCell="C2" activePane="bottomRight" state="frozen"/>
      <selection/>
      <selection pane="topRight"/>
      <selection pane="bottomLeft"/>
      <selection pane="bottomRight" activeCell="K9" sqref="K9"/>
    </sheetView>
  </sheetViews>
  <sheetFormatPr defaultColWidth="9" defaultRowHeight="14"/>
  <cols>
    <col min="1" max="1" width="9" style="245"/>
    <col min="2" max="2" width="9.58333333333333" style="245" customWidth="1"/>
    <col min="3" max="82" width="9" style="245"/>
    <col min="83" max="92" width="9" style="430" hidden="1" customWidth="1"/>
    <col min="93" max="94" width="9" style="430" customWidth="1"/>
  </cols>
  <sheetData>
    <row r="1" s="429" customFormat="1" ht="13" spans="1:94">
      <c r="A1" s="431" t="s">
        <v>162</v>
      </c>
      <c r="B1" s="431" t="s">
        <v>163</v>
      </c>
      <c r="C1" s="432" t="str">
        <f>IF('2、试卷（期末题目-课程目标）'!$C2=0,"↓清空此列",'2、试卷（期末题目-课程目标）'!$A2&amp;"("&amp;'2、试卷（期末题目-课程目标）'!$C2&amp;")")</f>
        <v>题目1(20)</v>
      </c>
      <c r="D1" s="432" t="str">
        <f>IF('2、试卷（期末题目-课程目标）'!$C3=0,"↓清空此列",'2、试卷（期末题目-课程目标）'!$A3&amp;"("&amp;'2、试卷（期末题目-课程目标）'!$C3&amp;")")</f>
        <v>题目2(20)</v>
      </c>
      <c r="E1" s="432" t="str">
        <f>IF('2、试卷（期末题目-课程目标）'!$C4=0,"↓清空此列",'2、试卷（期末题目-课程目标）'!$A4&amp;"("&amp;'2、试卷（期末题目-课程目标）'!$C4&amp;")")</f>
        <v>题目3(20)</v>
      </c>
      <c r="F1" s="432" t="str">
        <f>IF('2、试卷（期末题目-课程目标）'!$C5=0,"↓清空此列",'2、试卷（期末题目-课程目标）'!$A5&amp;"("&amp;'2、试卷（期末题目-课程目标）'!$C5&amp;")")</f>
        <v>题目4(20)</v>
      </c>
      <c r="G1" s="432" t="str">
        <f>IF('2、试卷（期末题目-课程目标）'!$C6=0,"↓清空此列",'2、试卷（期末题目-课程目标）'!$A6&amp;"("&amp;'2、试卷（期末题目-课程目标）'!$C6&amp;")")</f>
        <v>题目5(20)</v>
      </c>
      <c r="H1" s="432" t="str">
        <f>IF('2、试卷（期末题目-课程目标）'!$C7=0,"↓清空此列",'2、试卷（期末题目-课程目标）'!$A7&amp;"("&amp;'2、试卷（期末题目-课程目标）'!$C7&amp;")")</f>
        <v>↓清空此列</v>
      </c>
      <c r="I1" s="432" t="str">
        <f>IF('2、试卷（期末题目-课程目标）'!$C8=0,"↓清空此列",'2、试卷（期末题目-课程目标）'!$A8&amp;"("&amp;'2、试卷（期末题目-课程目标）'!$C8&amp;")")</f>
        <v>↓清空此列</v>
      </c>
      <c r="J1" s="432" t="str">
        <f>IF('2、试卷（期末题目-课程目标）'!$C9=0,"↓清空此列",'2、试卷（期末题目-课程目标）'!$A9&amp;"("&amp;'2、试卷（期末题目-课程目标）'!$C9&amp;")")</f>
        <v>↓清空此列</v>
      </c>
      <c r="K1" s="432" t="str">
        <f>IF('2、试卷（期末题目-课程目标）'!$C10=0,"↓清空此列",'2、试卷（期末题目-课程目标）'!$A10&amp;"("&amp;'2、试卷（期末题目-课程目标）'!$C10&amp;")")</f>
        <v>↓清空此列</v>
      </c>
      <c r="L1" s="432" t="str">
        <f>IF('2、试卷（期末题目-课程目标）'!$C11=0,"↓清空此列",'2、试卷（期末题目-课程目标）'!$A11&amp;"("&amp;'2、试卷（期末题目-课程目标）'!$C11&amp;")")</f>
        <v>↓清空此列</v>
      </c>
      <c r="M1" s="432" t="str">
        <f>IF('2、试卷（期末题目-课程目标）'!$C12=0,"↓清空此列",'2、试卷（期末题目-课程目标）'!$A12&amp;"("&amp;'2、试卷（期末题目-课程目标）'!$C12&amp;")")</f>
        <v>↓清空此列</v>
      </c>
      <c r="N1" s="432" t="str">
        <f>IF('2、试卷（期末题目-课程目标）'!$C13=0,"↓清空此列",'2、试卷（期末题目-课程目标）'!$A13&amp;"("&amp;'2、试卷（期末题目-课程目标）'!$C13&amp;")")</f>
        <v>↓清空此列</v>
      </c>
      <c r="O1" s="432" t="str">
        <f>IF('2、试卷（期末题目-课程目标）'!$C14=0,"↓清空此列",'2、试卷（期末题目-课程目标）'!$A14&amp;"("&amp;'2、试卷（期末题目-课程目标）'!$C14&amp;")")</f>
        <v>↓清空此列</v>
      </c>
      <c r="P1" s="432" t="str">
        <f>IF('2、试卷（期末题目-课程目标）'!$C15=0,"↓清空此列",'2、试卷（期末题目-课程目标）'!$A15&amp;"("&amp;'2、试卷（期末题目-课程目标）'!$C15&amp;")")</f>
        <v>↓清空此列</v>
      </c>
      <c r="Q1" s="432" t="str">
        <f>IF('2、试卷（期末题目-课程目标）'!$C16=0,"↓清空此列",'2、试卷（期末题目-课程目标）'!$A16&amp;"("&amp;'2、试卷（期末题目-课程目标）'!$C16&amp;")")</f>
        <v>↓清空此列</v>
      </c>
      <c r="R1" s="432" t="str">
        <f>IF('2、试卷（期末题目-课程目标）'!$C17=0,"↓清空此列",'2、试卷（期末题目-课程目标）'!$A17&amp;"("&amp;'2、试卷（期末题目-课程目标）'!$C17&amp;")")</f>
        <v>↓清空此列</v>
      </c>
      <c r="S1" s="432" t="str">
        <f>IF('2、试卷（期末题目-课程目标）'!$C18=0,"↓清空此列",'2、试卷（期末题目-课程目标）'!$A18&amp;"("&amp;'2、试卷（期末题目-课程目标）'!$C18&amp;")")</f>
        <v>↓清空此列</v>
      </c>
      <c r="T1" s="432" t="str">
        <f>IF('2、试卷（期末题目-课程目标）'!$C19=0,"↓清空此列",'2、试卷（期末题目-课程目标）'!$A19&amp;"("&amp;'2、试卷（期末题目-课程目标）'!$C19&amp;")")</f>
        <v>↓清空此列</v>
      </c>
      <c r="U1" s="432" t="str">
        <f>IF('2、试卷（期末题目-课程目标）'!$C20=0,"↓清空此列",'2、试卷（期末题目-课程目标）'!$A20&amp;"("&amp;'2、试卷（期末题目-课程目标）'!$C20&amp;")")</f>
        <v>↓清空此列</v>
      </c>
      <c r="V1" s="432" t="str">
        <f>IF('2、试卷（期末题目-课程目标）'!$C21=0,"↓清空此列",'2、试卷（期末题目-课程目标）'!$A21&amp;"("&amp;'2、试卷（期末题目-课程目标）'!$C21&amp;")")</f>
        <v>↓清空此列</v>
      </c>
      <c r="W1" s="432" t="str">
        <f>IF('2、试卷（期末题目-课程目标）'!$C22=0,"↓清空此列",'2、试卷（期末题目-课程目标）'!$A22&amp;"("&amp;'2、试卷（期末题目-课程目标）'!$C22&amp;")")</f>
        <v>↓清空此列</v>
      </c>
      <c r="X1" s="432" t="str">
        <f>IF('2、试卷（期末题目-课程目标）'!$C23=0,"↓清空此列",'2、试卷（期末题目-课程目标）'!$A23&amp;"("&amp;'2、试卷（期末题目-课程目标）'!$C23&amp;")")</f>
        <v>↓清空此列</v>
      </c>
      <c r="Y1" s="432" t="str">
        <f>IF('2、试卷（期末题目-课程目标）'!$C24=0,"↓清空此列",'2、试卷（期末题目-课程目标）'!$A24&amp;"("&amp;'2、试卷（期末题目-课程目标）'!$C24&amp;")")</f>
        <v>↓清空此列</v>
      </c>
      <c r="Z1" s="432" t="str">
        <f>IF('2、试卷（期末题目-课程目标）'!$C25=0,"↓清空此列",'2、试卷（期末题目-课程目标）'!$A25&amp;"("&amp;'2、试卷（期末题目-课程目标）'!$C25&amp;")")</f>
        <v>↓清空此列</v>
      </c>
      <c r="AA1" s="432" t="str">
        <f>IF('2、试卷（期末题目-课程目标）'!$C26=0,"↓清空此列",'2、试卷（期末题目-课程目标）'!$A26&amp;"("&amp;'2、试卷（期末题目-课程目标）'!$C26&amp;")")</f>
        <v>↓清空此列</v>
      </c>
      <c r="AB1" s="432" t="str">
        <f>IF('2、试卷（期末题目-课程目标）'!$C27=0,"↓清空此列",'2、试卷（期末题目-课程目标）'!$A27&amp;"("&amp;'2、试卷（期末题目-课程目标）'!$C27&amp;")")</f>
        <v>↓清空此列</v>
      </c>
      <c r="AC1" s="432" t="str">
        <f>IF('2、试卷（期末题目-课程目标）'!$C28=0,"↓清空此列",'2、试卷（期末题目-课程目标）'!$A28&amp;"("&amp;'2、试卷（期末题目-课程目标）'!$C28&amp;")")</f>
        <v>↓清空此列</v>
      </c>
      <c r="AD1" s="432" t="str">
        <f>IF('2、试卷（期末题目-课程目标）'!$C29=0,"↓清空此列",'2、试卷（期末题目-课程目标）'!$A29&amp;"("&amp;'2、试卷（期末题目-课程目标）'!$C29&amp;")")</f>
        <v>↓清空此列</v>
      </c>
      <c r="AE1" s="432" t="str">
        <f>IF('2、试卷（期末题目-课程目标）'!$C30=0,"↓清空此列",'2、试卷（期末题目-课程目标）'!$A30&amp;"("&amp;'2、试卷（期末题目-课程目标）'!$C30&amp;")")</f>
        <v>↓清空此列</v>
      </c>
      <c r="AF1" s="432" t="str">
        <f>IF('2、试卷（期末题目-课程目标）'!$C31=0,"↓清空此列",'2、试卷（期末题目-课程目标）'!$A31&amp;"("&amp;'2、试卷（期末题目-课程目标）'!$C31&amp;")")</f>
        <v>↓清空此列</v>
      </c>
      <c r="AG1" s="432" t="str">
        <f>IF('2、试卷（期末题目-课程目标）'!$C32=0,"↓清空此列",'2、试卷（期末题目-课程目标）'!$A32&amp;"("&amp;'2、试卷（期末题目-课程目标）'!$C32&amp;")")</f>
        <v>↓清空此列</v>
      </c>
      <c r="AH1" s="432" t="str">
        <f>IF('2、试卷（期末题目-课程目标）'!$C33=0,"↓清空此列",'2、试卷（期末题目-课程目标）'!$A33&amp;"("&amp;'2、试卷（期末题目-课程目标）'!$C33&amp;")")</f>
        <v>↓清空此列</v>
      </c>
      <c r="AI1" s="432" t="str">
        <f>IF('2、试卷（期末题目-课程目标）'!$C34=0,"↓清空此列",'2、试卷（期末题目-课程目标）'!$A34&amp;"("&amp;'2、试卷（期末题目-课程目标）'!$C34&amp;")")</f>
        <v>↓清空此列</v>
      </c>
      <c r="AJ1" s="432" t="str">
        <f>IF('2、试卷（期末题目-课程目标）'!$C35=0,"↓清空此列",'2、试卷（期末题目-课程目标）'!$A35&amp;"("&amp;'2、试卷（期末题目-课程目标）'!$C35&amp;")")</f>
        <v>↓清空此列</v>
      </c>
      <c r="AK1" s="432" t="str">
        <f>IF('2、试卷（期末题目-课程目标）'!$C36=0,"↓清空此列",'2、试卷（期末题目-课程目标）'!$A36&amp;"("&amp;'2、试卷（期末题目-课程目标）'!$C36&amp;")")</f>
        <v>↓清空此列</v>
      </c>
      <c r="AL1" s="432" t="str">
        <f>IF('2、试卷（期末题目-课程目标）'!$C37=0,"↓清空此列",'2、试卷（期末题目-课程目标）'!$A37&amp;"("&amp;'2、试卷（期末题目-课程目标）'!$C37&amp;")")</f>
        <v>↓清空此列</v>
      </c>
      <c r="AM1" s="432" t="str">
        <f>IF('2、试卷（期末题目-课程目标）'!$C38=0,"↓清空此列",'2、试卷（期末题目-课程目标）'!$A38&amp;"("&amp;'2、试卷（期末题目-课程目标）'!$C38&amp;")")</f>
        <v>↓清空此列</v>
      </c>
      <c r="AN1" s="432" t="str">
        <f>IF('2、试卷（期末题目-课程目标）'!$C39=0,"↓清空此列",'2、试卷（期末题目-课程目标）'!$A39&amp;"("&amp;'2、试卷（期末题目-课程目标）'!$C39&amp;")")</f>
        <v>↓清空此列</v>
      </c>
      <c r="AO1" s="432" t="str">
        <f>IF('2、试卷（期末题目-课程目标）'!$C40=0,"↓清空此列",'2、试卷（期末题目-课程目标）'!$A40&amp;"("&amp;'2、试卷（期末题目-课程目标）'!$C40&amp;")")</f>
        <v>↓清空此列</v>
      </c>
      <c r="AP1" s="432" t="str">
        <f>IF('2、试卷（期末题目-课程目标）'!$C41=0,"↓清空此列",'2、试卷（期末题目-课程目标）'!$A41&amp;"("&amp;'2、试卷（期末题目-课程目标）'!$C41&amp;")")</f>
        <v>↓清空此列</v>
      </c>
      <c r="AQ1" s="432" t="str">
        <f>IF('2、试卷（期末题目-课程目标）'!$C42=0,"↓清空此列",'2、试卷（期末题目-课程目标）'!$A42&amp;"("&amp;'2、试卷（期末题目-课程目标）'!$C42&amp;")")</f>
        <v>↓清空此列</v>
      </c>
      <c r="AR1" s="432" t="str">
        <f>IF('2、试卷（期末题目-课程目标）'!$C43=0,"↓清空此列",'2、试卷（期末题目-课程目标）'!$A43&amp;"("&amp;'2、试卷（期末题目-课程目标）'!$C43&amp;")")</f>
        <v>↓清空此列</v>
      </c>
      <c r="AS1" s="432" t="str">
        <f>IF('2、试卷（期末题目-课程目标）'!$C44=0,"↓清空此列",'2、试卷（期末题目-课程目标）'!$A44&amp;"("&amp;'2、试卷（期末题目-课程目标）'!$C44&amp;")")</f>
        <v>↓清空此列</v>
      </c>
      <c r="AT1" s="432" t="str">
        <f>IF('2、试卷（期末题目-课程目标）'!$C45=0,"↓清空此列",'2、试卷（期末题目-课程目标）'!$A45&amp;"("&amp;'2、试卷（期末题目-课程目标）'!$C45&amp;")")</f>
        <v>↓清空此列</v>
      </c>
      <c r="AU1" s="432" t="str">
        <f>IF('2、试卷（期末题目-课程目标）'!$C46=0,"↓清空此列",'2、试卷（期末题目-课程目标）'!$A46&amp;"("&amp;'2、试卷（期末题目-课程目标）'!$C46&amp;")")</f>
        <v>↓清空此列</v>
      </c>
      <c r="AV1" s="432" t="str">
        <f>IF('2、试卷（期末题目-课程目标）'!$C47=0,"↓清空此列",'2、试卷（期末题目-课程目标）'!$A47&amp;"("&amp;'2、试卷（期末题目-课程目标）'!$C47&amp;")")</f>
        <v>↓清空此列</v>
      </c>
      <c r="AW1" s="432" t="str">
        <f>IF('2、试卷（期末题目-课程目标）'!$C48=0,"↓清空此列",'2、试卷（期末题目-课程目标）'!$A48&amp;"("&amp;'2、试卷（期末题目-课程目标）'!$C48&amp;")")</f>
        <v>↓清空此列</v>
      </c>
      <c r="AX1" s="432" t="str">
        <f>IF('2、试卷（期末题目-课程目标）'!$C49=0,"↓清空此列",'2、试卷（期末题目-课程目标）'!$A49&amp;"("&amp;'2、试卷（期末题目-课程目标）'!$C49&amp;")")</f>
        <v>↓清空此列</v>
      </c>
      <c r="AY1" s="432" t="str">
        <f>IF('2、试卷（期末题目-课程目标）'!$C50=0,"↓清空此列",'2、试卷（期末题目-课程目标）'!$A50&amp;"("&amp;'2、试卷（期末题目-课程目标）'!$C50&amp;")")</f>
        <v>↓清空此列</v>
      </c>
      <c r="AZ1" s="432" t="str">
        <f>IF('2、试卷（期末题目-课程目标）'!$C51=0,"↓清空此列",'2、试卷（期末题目-课程目标）'!$A51&amp;"("&amp;'2、试卷（期末题目-课程目标）'!$C51&amp;")")</f>
        <v>↓清空此列</v>
      </c>
      <c r="BA1" s="432" t="str">
        <f>IF('2、试卷（期末题目-课程目标）'!$C52=0,"↓清空此列",'2、试卷（期末题目-课程目标）'!$A52&amp;"("&amp;'2、试卷（期末题目-课程目标）'!$C52&amp;")")</f>
        <v>↓清空此列</v>
      </c>
      <c r="BB1" s="432" t="str">
        <f>IF('2、试卷（期末题目-课程目标）'!$C53=0,"↓清空此列",'2、试卷（期末题目-课程目标）'!$A53&amp;"("&amp;'2、试卷（期末题目-课程目标）'!$C53&amp;")")</f>
        <v>↓清空此列</v>
      </c>
      <c r="BC1" s="432" t="str">
        <f>IF('2、试卷（期末题目-课程目标）'!$C54=0,"↓清空此列",'2、试卷（期末题目-课程目标）'!$A54&amp;"("&amp;'2、试卷（期末题目-课程目标）'!$C54&amp;")")</f>
        <v>↓清空此列</v>
      </c>
      <c r="BD1" s="432" t="str">
        <f>IF('2、试卷（期末题目-课程目标）'!$C55=0,"↓清空此列",'2、试卷（期末题目-课程目标）'!$A55&amp;"("&amp;'2、试卷（期末题目-课程目标）'!$C55&amp;")")</f>
        <v>↓清空此列</v>
      </c>
      <c r="BE1" s="432" t="str">
        <f>IF('2、试卷（期末题目-课程目标）'!$C56=0,"↓清空此列",'2、试卷（期末题目-课程目标）'!$A56&amp;"("&amp;'2、试卷（期末题目-课程目标）'!$C56&amp;")")</f>
        <v>↓清空此列</v>
      </c>
      <c r="BF1" s="432" t="str">
        <f>IF('2、试卷（期末题目-课程目标）'!$C57=0,"↓清空此列",'2、试卷（期末题目-课程目标）'!$A57&amp;"("&amp;'2、试卷（期末题目-课程目标）'!$C57&amp;")")</f>
        <v>↓清空此列</v>
      </c>
      <c r="BG1" s="432" t="str">
        <f>IF('2、试卷（期末题目-课程目标）'!$C58=0,"↓清空此列",'2、试卷（期末题目-课程目标）'!$A58&amp;"("&amp;'2、试卷（期末题目-课程目标）'!$C58&amp;")")</f>
        <v>↓清空此列</v>
      </c>
      <c r="BH1" s="432" t="str">
        <f>IF('2、试卷（期末题目-课程目标）'!$C59=0,"↓清空此列",'2、试卷（期末题目-课程目标）'!$A59&amp;"("&amp;'2、试卷（期末题目-课程目标）'!$C59&amp;")")</f>
        <v>↓清空此列</v>
      </c>
      <c r="BI1" s="432" t="str">
        <f>IF('2、试卷（期末题目-课程目标）'!$C60=0,"↓清空此列",'2、试卷（期末题目-课程目标）'!$A60&amp;"("&amp;'2、试卷（期末题目-课程目标）'!$C60&amp;")")</f>
        <v>↓清空此列</v>
      </c>
      <c r="BJ1" s="432" t="str">
        <f>IF('2、试卷（期末题目-课程目标）'!$C61=0,"↓清空此列",'2、试卷（期末题目-课程目标）'!$A61&amp;"("&amp;'2、试卷（期末题目-课程目标）'!$C61&amp;")")</f>
        <v>↓清空此列</v>
      </c>
      <c r="BK1" s="432" t="str">
        <f>IF('2、试卷（期末题目-课程目标）'!$C62=0,"↓清空此列",'2、试卷（期末题目-课程目标）'!$A62&amp;"("&amp;'2、试卷（期末题目-课程目标）'!$C62&amp;")")</f>
        <v>↓清空此列</v>
      </c>
      <c r="BL1" s="432" t="str">
        <f>IF('2、试卷（期末题目-课程目标）'!$C63=0,"↓清空此列",'2、试卷（期末题目-课程目标）'!$A63&amp;"("&amp;'2、试卷（期末题目-课程目标）'!$C63&amp;")")</f>
        <v>↓清空此列</v>
      </c>
      <c r="BM1" s="432" t="str">
        <f>IF('2、试卷（期末题目-课程目标）'!$C64=0,"↓清空此列",'2、试卷（期末题目-课程目标）'!$A64&amp;"("&amp;'2、试卷（期末题目-课程目标）'!$C64&amp;")")</f>
        <v>↓清空此列</v>
      </c>
      <c r="BN1" s="432" t="str">
        <f>IF('2、试卷（期末题目-课程目标）'!$C65=0,"↓清空此列",'2、试卷（期末题目-课程目标）'!$A65&amp;"("&amp;'2、试卷（期末题目-课程目标）'!$C65&amp;")")</f>
        <v>↓清空此列</v>
      </c>
      <c r="BO1" s="432" t="str">
        <f>IF('2、试卷（期末题目-课程目标）'!$C66=0,"↓清空此列",'2、试卷（期末题目-课程目标）'!$A66&amp;"("&amp;'2、试卷（期末题目-课程目标）'!$C66&amp;")")</f>
        <v>↓清空此列</v>
      </c>
      <c r="BP1" s="432" t="str">
        <f>IF('2、试卷（期末题目-课程目标）'!$C67=0,"↓清空此列",'2、试卷（期末题目-课程目标）'!$A67&amp;"("&amp;'2、试卷（期末题目-课程目标）'!$C67&amp;")")</f>
        <v>↓清空此列</v>
      </c>
      <c r="BQ1" s="432" t="str">
        <f>IF('2、试卷（期末题目-课程目标）'!$C68=0,"↓清空此列",'2、试卷（期末题目-课程目标）'!$A68&amp;"("&amp;'2、试卷（期末题目-课程目标）'!$C68&amp;")")</f>
        <v>↓清空此列</v>
      </c>
      <c r="BR1" s="432" t="str">
        <f>IF('2、试卷（期末题目-课程目标）'!$C69=0,"↓清空此列",'2、试卷（期末题目-课程目标）'!$A69&amp;"("&amp;'2、试卷（期末题目-课程目标）'!$C69&amp;")")</f>
        <v>↓清空此列</v>
      </c>
      <c r="BS1" s="432" t="str">
        <f>IF('2、试卷（期末题目-课程目标）'!$C70=0,"↓清空此列",'2、试卷（期末题目-课程目标）'!$A70&amp;"("&amp;'2、试卷（期末题目-课程目标）'!$C70&amp;")")</f>
        <v>↓清空此列</v>
      </c>
      <c r="BT1" s="432" t="str">
        <f>IF('2、试卷（期末题目-课程目标）'!$C71=0,"↓清空此列",'2、试卷（期末题目-课程目标）'!$A71&amp;"("&amp;'2、试卷（期末题目-课程目标）'!$C71&amp;")")</f>
        <v>↓清空此列</v>
      </c>
      <c r="BU1" s="432" t="str">
        <f>IF('2、试卷（期末题目-课程目标）'!$C72=0,"↓清空此列",'2、试卷（期末题目-课程目标）'!$A72&amp;"("&amp;'2、试卷（期末题目-课程目标）'!$C72&amp;")")</f>
        <v>↓清空此列</v>
      </c>
      <c r="BV1" s="432" t="str">
        <f>IF('2、试卷（期末题目-课程目标）'!$C73=0,"↓清空此列",'2、试卷（期末题目-课程目标）'!$A73&amp;"("&amp;'2、试卷（期末题目-课程目标）'!$C73&amp;")")</f>
        <v>↓清空此列</v>
      </c>
      <c r="BW1" s="432" t="str">
        <f>IF('2、试卷（期末题目-课程目标）'!$C74=0,"↓清空此列",'2、试卷（期末题目-课程目标）'!$A74&amp;"("&amp;'2、试卷（期末题目-课程目标）'!$C74&amp;")")</f>
        <v>↓清空此列</v>
      </c>
      <c r="BX1" s="432" t="str">
        <f>IF('2、试卷（期末题目-课程目标）'!$C75=0,"↓清空此列",'2、试卷（期末题目-课程目标）'!$A75&amp;"("&amp;'2、试卷（期末题目-课程目标）'!$C75&amp;")")</f>
        <v>↓清空此列</v>
      </c>
      <c r="BY1" s="432" t="str">
        <f>IF('2、试卷（期末题目-课程目标）'!$C76=0,"↓清空此列",'2、试卷（期末题目-课程目标）'!$A76&amp;"("&amp;'2、试卷（期末题目-课程目标）'!$C76&amp;")")</f>
        <v>↓清空此列</v>
      </c>
      <c r="BZ1" s="432" t="str">
        <f>IF('2、试卷（期末题目-课程目标）'!$C77=0,"↓清空此列",'2、试卷（期末题目-课程目标）'!$A77&amp;"("&amp;'2、试卷（期末题目-课程目标）'!$C77&amp;")")</f>
        <v>↓清空此列</v>
      </c>
      <c r="CA1" s="432" t="str">
        <f>IF('2、试卷（期末题目-课程目标）'!$C78=0,"↓清空此列",'2、试卷（期末题目-课程目标）'!$A78&amp;"("&amp;'2、试卷（期末题目-课程目标）'!$C78&amp;")")</f>
        <v>↓清空此列</v>
      </c>
      <c r="CB1" s="432" t="str">
        <f>IF('2、试卷（期末题目-课程目标）'!$C79=0,"↓清空此列",'2、试卷（期末题目-课程目标）'!$A79&amp;"("&amp;'2、试卷（期末题目-课程目标）'!$C79&amp;")")</f>
        <v>↓清空此列</v>
      </c>
      <c r="CC1" s="432" t="str">
        <f>IF('2、试卷（期末题目-课程目标）'!$C80=0,"↓清空此列",'2、试卷（期末题目-课程目标）'!$A80&amp;"("&amp;'2、试卷（期末题目-课程目标）'!$C80&amp;")")</f>
        <v>↓清空此列</v>
      </c>
      <c r="CD1" s="432" t="str">
        <f>IF('2、试卷（期末题目-课程目标）'!$C81=0,"↓清空此列",'2、试卷（期末题目-课程目标）'!$A81&amp;"("&amp;'2、试卷（期末题目-课程目标）'!$C81&amp;")")</f>
        <v>↓清空此列</v>
      </c>
      <c r="CE1" s="432" t="str">
        <f>IF('2、试卷（期末题目-课程目标）'!$C82=0,"↓清空此列",'2、试卷（期末题目-课程目标）'!$A82&amp;"("&amp;'2、试卷（期末题目-课程目标）'!$C82&amp;")")</f>
        <v>↓清空此列</v>
      </c>
      <c r="CF1" s="431" t="s">
        <v>59</v>
      </c>
      <c r="CG1" s="431" t="s">
        <v>60</v>
      </c>
      <c r="CH1" s="431" t="s">
        <v>61</v>
      </c>
      <c r="CI1" s="431" t="s">
        <v>62</v>
      </c>
      <c r="CJ1" s="431" t="s">
        <v>63</v>
      </c>
      <c r="CK1" s="431" t="s">
        <v>64</v>
      </c>
      <c r="CL1" s="431" t="s">
        <v>66</v>
      </c>
      <c r="CM1" s="431" t="s">
        <v>67</v>
      </c>
      <c r="CN1" s="431" t="s">
        <v>68</v>
      </c>
      <c r="CO1" s="431" t="s">
        <v>164</v>
      </c>
      <c r="CP1" s="431" t="s">
        <v>165</v>
      </c>
    </row>
    <row r="2" s="32" customFormat="1" spans="1:94">
      <c r="A2" s="433" t="s">
        <v>166</v>
      </c>
      <c r="B2" s="434" t="s">
        <v>167</v>
      </c>
      <c r="C2" s="435">
        <v>19</v>
      </c>
      <c r="D2" s="435">
        <v>19</v>
      </c>
      <c r="E2" s="435">
        <v>19</v>
      </c>
      <c r="F2" s="435">
        <v>19</v>
      </c>
      <c r="G2" s="435">
        <v>19</v>
      </c>
      <c r="H2" s="435"/>
      <c r="I2" s="435"/>
      <c r="J2" s="435"/>
      <c r="K2" s="435"/>
      <c r="L2" s="435"/>
      <c r="M2" s="435"/>
      <c r="N2" s="435"/>
      <c r="O2" s="435"/>
      <c r="P2" s="435"/>
      <c r="Q2" s="435"/>
      <c r="R2" s="435"/>
      <c r="S2" s="435"/>
      <c r="T2" s="435"/>
      <c r="U2" s="435"/>
      <c r="V2" s="435"/>
      <c r="W2" s="436"/>
      <c r="X2" s="436"/>
      <c r="Y2" s="436"/>
      <c r="Z2" s="436"/>
      <c r="AA2" s="436"/>
      <c r="AB2" s="436"/>
      <c r="AC2" s="436"/>
      <c r="AD2" s="436"/>
      <c r="AE2" s="436"/>
      <c r="AF2" s="436"/>
      <c r="AG2" s="436"/>
      <c r="AH2" s="436"/>
      <c r="AI2" s="436"/>
      <c r="AJ2" s="436"/>
      <c r="AK2" s="436"/>
      <c r="AL2" s="436"/>
      <c r="AM2" s="436"/>
      <c r="AN2" s="436"/>
      <c r="AO2" s="436"/>
      <c r="AP2" s="436"/>
      <c r="AQ2" s="436"/>
      <c r="AR2" s="436"/>
      <c r="AS2" s="436"/>
      <c r="AT2" s="436"/>
      <c r="AU2" s="436"/>
      <c r="AV2" s="436"/>
      <c r="AW2" s="436"/>
      <c r="AX2" s="436"/>
      <c r="AY2" s="436"/>
      <c r="AZ2" s="436"/>
      <c r="BA2" s="436"/>
      <c r="BB2" s="436"/>
      <c r="BC2" s="436"/>
      <c r="BD2" s="436"/>
      <c r="BE2" s="436"/>
      <c r="BF2" s="436"/>
      <c r="BG2" s="436"/>
      <c r="BH2" s="436"/>
      <c r="BI2" s="436"/>
      <c r="BJ2" s="436"/>
      <c r="BK2" s="436"/>
      <c r="BL2" s="436"/>
      <c r="BM2" s="436"/>
      <c r="BN2" s="436"/>
      <c r="BO2" s="436"/>
      <c r="BP2" s="436"/>
      <c r="BQ2" s="436"/>
      <c r="BR2" s="436"/>
      <c r="BS2" s="436"/>
      <c r="BT2" s="436"/>
      <c r="BU2" s="436"/>
      <c r="BV2" s="436"/>
      <c r="BW2" s="436"/>
      <c r="BX2" s="436"/>
      <c r="BY2" s="436"/>
      <c r="BZ2" s="436"/>
      <c r="CA2" s="436"/>
      <c r="CB2" s="436"/>
      <c r="CC2" s="436"/>
      <c r="CD2" s="436"/>
      <c r="CE2" s="437">
        <f>SUM(IF(COLUMN($C2:$CD2)&lt;(3+'[3]2、期末试卷试题分布表'!$B$1),$C2:$CD2,))</f>
        <v>95</v>
      </c>
      <c r="CF2" s="437">
        <f t="array" ref="CF2">SUM(IF(COLUMN($C2:$CD2)&lt;(3+SUM('[3]2、期末试卷试题分布表'!$B$1:$B$2)),$C2:$CD2,))-$CE2</f>
        <v>0</v>
      </c>
      <c r="CG2" s="437">
        <f t="array" ref="CG2">SUM(IF(COLUMN($C2:$CD2)&lt;(3+SUM('[3]2、期末试卷试题分布表'!$B$1:$B$3)),$C2:$CD2,))-SUM($CE2:$CF2)</f>
        <v>0</v>
      </c>
      <c r="CH2" s="437">
        <f t="array" ref="CH2">SUM(IF(COLUMN($C2:$CD2)&lt;(3+SUM('[3]2、期末试卷试题分布表'!$B$1:$B$4)),$C2:$CD2,))-SUM($CE2:$CG2)</f>
        <v>0</v>
      </c>
      <c r="CI2" s="437">
        <f t="array" ref="CI2">SUM(IF(COLUMN($C2:$CD2)&lt;(3+SUM('[3]2、期末试卷试题分布表'!$B$1:$B$5)),$C2:$CD2,))-SUM($CE2:$CH2)</f>
        <v>0</v>
      </c>
      <c r="CJ2" s="437">
        <f t="array" ref="CJ2">SUM(IF(COLUMN($C2:$CD2)&lt;(3+SUM('[3]2、期末试卷试题分布表'!$B$1:$B$6)),$C2:$CD2,))-SUM($CE2:$CI2)</f>
        <v>0</v>
      </c>
      <c r="CK2" s="437">
        <f t="array" ref="CK2">SUM(IF(COLUMN($C2:$CD2)&lt;(3+SUM('[3]2、期末试卷试题分布表'!$B$1:$B$7)),$C2:$CD2,))-SUM($CE2:$CJ2)</f>
        <v>0</v>
      </c>
      <c r="CL2" s="437">
        <f t="array" ref="CL2">SUM(IF(COLUMN($C2:$CD2)&lt;(3+SUM('[3]2、期末试卷试题分布表'!$B$1:$B$8)),$C2:$CD2,))-SUM($CE2:$CK2)</f>
        <v>0</v>
      </c>
      <c r="CM2" s="437">
        <f t="array" ref="CM2">SUM(IF(COLUMN($C2:$CD2)&lt;(3+SUM('[3]2、期末试卷试题分布表'!$B$1:$B$9)),$C2:$CD2,))-SUM($CE2:$CL2)</f>
        <v>0</v>
      </c>
      <c r="CN2" s="437">
        <f t="array" ref="CN2">SUM(IF(COLUMN($C2:$CD2)&lt;(3+SUM('[3]2、期末试卷试题分布表'!$B$1:$B$10)),$C2:$CD2,))-SUM($CE2:$CM2)</f>
        <v>0</v>
      </c>
      <c r="CO2" s="437">
        <f>SUM(C2:CD2)</f>
        <v>95</v>
      </c>
      <c r="CP2" s="438">
        <f ca="1">ROUND(CO2*'1、课程目标与考核方式'!$H$13/100+IF(ISERROR(VLOOKUP(A2,'4、平时成绩'!$A$2:$H$201,8,FALSE)),0,VLOOKUP(A2,'4、平时成绩'!$A$2:$H$201,8,FALSE)),0)</f>
        <v>70</v>
      </c>
    </row>
    <row r="3" s="32" customFormat="1" spans="1:94">
      <c r="A3" s="433" t="s">
        <v>168</v>
      </c>
      <c r="B3" s="434" t="s">
        <v>169</v>
      </c>
      <c r="C3" s="435">
        <v>19</v>
      </c>
      <c r="D3" s="435">
        <v>19</v>
      </c>
      <c r="E3" s="435">
        <v>19</v>
      </c>
      <c r="F3" s="435">
        <v>19</v>
      </c>
      <c r="G3" s="435">
        <v>19</v>
      </c>
      <c r="H3" s="435"/>
      <c r="I3" s="435"/>
      <c r="J3" s="435"/>
      <c r="K3" s="435"/>
      <c r="L3" s="435"/>
      <c r="M3" s="435"/>
      <c r="N3" s="435"/>
      <c r="O3" s="435"/>
      <c r="P3" s="435"/>
      <c r="Q3" s="435"/>
      <c r="R3" s="435"/>
      <c r="S3" s="435"/>
      <c r="T3" s="435"/>
      <c r="U3" s="435"/>
      <c r="V3" s="435"/>
      <c r="W3" s="436"/>
      <c r="X3" s="436"/>
      <c r="Y3" s="436"/>
      <c r="Z3" s="436"/>
      <c r="AA3" s="436"/>
      <c r="AB3" s="436"/>
      <c r="AC3" s="436"/>
      <c r="AD3" s="436"/>
      <c r="AE3" s="436"/>
      <c r="AF3" s="436"/>
      <c r="AG3" s="436"/>
      <c r="AH3" s="436"/>
      <c r="AI3" s="436"/>
      <c r="AJ3" s="436"/>
      <c r="AK3" s="436"/>
      <c r="AL3" s="436"/>
      <c r="AM3" s="436"/>
      <c r="AN3" s="436"/>
      <c r="AO3" s="436"/>
      <c r="AP3" s="436"/>
      <c r="AQ3" s="436"/>
      <c r="AR3" s="436"/>
      <c r="AS3" s="436"/>
      <c r="AT3" s="436"/>
      <c r="AU3" s="436"/>
      <c r="AV3" s="436"/>
      <c r="AW3" s="436"/>
      <c r="AX3" s="436"/>
      <c r="AY3" s="436"/>
      <c r="AZ3" s="436"/>
      <c r="BA3" s="436"/>
      <c r="BB3" s="436"/>
      <c r="BC3" s="436"/>
      <c r="BD3" s="436"/>
      <c r="BE3" s="436"/>
      <c r="BF3" s="436"/>
      <c r="BG3" s="436"/>
      <c r="BH3" s="436"/>
      <c r="BI3" s="436"/>
      <c r="BJ3" s="436"/>
      <c r="BK3" s="436"/>
      <c r="BL3" s="436"/>
      <c r="BM3" s="436"/>
      <c r="BN3" s="436"/>
      <c r="BO3" s="436"/>
      <c r="BP3" s="436"/>
      <c r="BQ3" s="436"/>
      <c r="BR3" s="436"/>
      <c r="BS3" s="436"/>
      <c r="BT3" s="436"/>
      <c r="BU3" s="436"/>
      <c r="BV3" s="436"/>
      <c r="BW3" s="436"/>
      <c r="BX3" s="436"/>
      <c r="BY3" s="436"/>
      <c r="BZ3" s="436"/>
      <c r="CA3" s="436"/>
      <c r="CB3" s="436"/>
      <c r="CC3" s="436"/>
      <c r="CD3" s="436"/>
      <c r="CE3" s="437">
        <v>1</v>
      </c>
      <c r="CF3" s="437">
        <v>1</v>
      </c>
      <c r="CG3" s="437">
        <v>1</v>
      </c>
      <c r="CH3" s="437">
        <v>1</v>
      </c>
      <c r="CI3" s="437">
        <v>1</v>
      </c>
      <c r="CJ3" s="437">
        <v>1</v>
      </c>
      <c r="CK3" s="437">
        <v>1</v>
      </c>
      <c r="CL3" s="437">
        <v>1</v>
      </c>
      <c r="CM3" s="437">
        <v>1</v>
      </c>
      <c r="CN3" s="437">
        <v>1</v>
      </c>
      <c r="CO3" s="437">
        <f t="shared" ref="CO3:CO34" si="0">SUM(C3:CD3)</f>
        <v>95</v>
      </c>
      <c r="CP3" s="438">
        <f ca="1">ROUND(CO3*'1、课程目标与考核方式'!$H$13/100+IF(ISERROR(VLOOKUP(A3,'4、平时成绩'!$A$2:$H$201,8,FALSE)),0,VLOOKUP(A3,'4、平时成绩'!$A$2:$H$201,8,FALSE)),0)</f>
        <v>69</v>
      </c>
    </row>
    <row r="4" s="32" customFormat="1" spans="1:94">
      <c r="A4" s="433" t="s">
        <v>170</v>
      </c>
      <c r="B4" s="434" t="s">
        <v>171</v>
      </c>
      <c r="C4" s="435">
        <v>19</v>
      </c>
      <c r="D4" s="435">
        <v>19</v>
      </c>
      <c r="E4" s="435">
        <v>19</v>
      </c>
      <c r="F4" s="435">
        <v>19</v>
      </c>
      <c r="G4" s="435">
        <v>19</v>
      </c>
      <c r="H4" s="435"/>
      <c r="I4" s="435"/>
      <c r="J4" s="435"/>
      <c r="K4" s="435"/>
      <c r="L4" s="435"/>
      <c r="M4" s="435"/>
      <c r="N4" s="435"/>
      <c r="O4" s="435"/>
      <c r="P4" s="435"/>
      <c r="Q4" s="435"/>
      <c r="R4" s="435"/>
      <c r="S4" s="435"/>
      <c r="T4" s="435"/>
      <c r="U4" s="435"/>
      <c r="V4" s="435"/>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c r="BZ4" s="436"/>
      <c r="CA4" s="436"/>
      <c r="CB4" s="436"/>
      <c r="CC4" s="436"/>
      <c r="CD4" s="436"/>
      <c r="CE4" s="437">
        <v>2</v>
      </c>
      <c r="CF4" s="437">
        <v>2</v>
      </c>
      <c r="CG4" s="437">
        <v>2</v>
      </c>
      <c r="CH4" s="437">
        <v>2</v>
      </c>
      <c r="CI4" s="437">
        <v>2</v>
      </c>
      <c r="CJ4" s="437">
        <v>2</v>
      </c>
      <c r="CK4" s="437">
        <v>2</v>
      </c>
      <c r="CL4" s="437">
        <v>2</v>
      </c>
      <c r="CM4" s="437">
        <v>2</v>
      </c>
      <c r="CN4" s="437">
        <v>2</v>
      </c>
      <c r="CO4" s="437">
        <f t="shared" si="0"/>
        <v>95</v>
      </c>
      <c r="CP4" s="438">
        <f ca="1">ROUND(CO4*'1、课程目标与考核方式'!$H$13/100+IF(ISERROR(VLOOKUP(A4,'4、平时成绩'!$A$2:$H$201,8,FALSE)),0,VLOOKUP(A4,'4、平时成绩'!$A$2:$H$201,8,FALSE)),0)</f>
        <v>69</v>
      </c>
    </row>
    <row r="5" s="32" customFormat="1" spans="1:94">
      <c r="A5" s="433" t="s">
        <v>172</v>
      </c>
      <c r="B5" s="434" t="s">
        <v>173</v>
      </c>
      <c r="C5" s="435">
        <v>19</v>
      </c>
      <c r="D5" s="435">
        <v>19</v>
      </c>
      <c r="E5" s="435">
        <v>19</v>
      </c>
      <c r="F5" s="435">
        <v>19</v>
      </c>
      <c r="G5" s="435">
        <v>19</v>
      </c>
      <c r="H5" s="435"/>
      <c r="I5" s="435"/>
      <c r="J5" s="435"/>
      <c r="K5" s="435"/>
      <c r="L5" s="435"/>
      <c r="M5" s="435"/>
      <c r="N5" s="435"/>
      <c r="O5" s="435"/>
      <c r="P5" s="435"/>
      <c r="Q5" s="435"/>
      <c r="R5" s="435"/>
      <c r="S5" s="435"/>
      <c r="T5" s="435"/>
      <c r="U5" s="435"/>
      <c r="V5" s="435"/>
      <c r="W5" s="436"/>
      <c r="X5" s="436"/>
      <c r="Y5" s="436"/>
      <c r="Z5" s="436"/>
      <c r="AA5" s="436"/>
      <c r="AB5" s="436"/>
      <c r="AC5" s="436"/>
      <c r="AD5" s="436"/>
      <c r="AE5" s="436"/>
      <c r="AF5" s="436"/>
      <c r="AG5" s="436"/>
      <c r="AH5" s="436"/>
      <c r="AI5" s="436"/>
      <c r="AJ5" s="436"/>
      <c r="AK5" s="436"/>
      <c r="AL5" s="436"/>
      <c r="AM5" s="436"/>
      <c r="AN5" s="436"/>
      <c r="AO5" s="436"/>
      <c r="AP5" s="436"/>
      <c r="AQ5" s="436"/>
      <c r="AR5" s="436"/>
      <c r="AS5" s="436"/>
      <c r="AT5" s="436"/>
      <c r="AU5" s="436"/>
      <c r="AV5" s="436"/>
      <c r="AW5" s="436"/>
      <c r="AX5" s="436"/>
      <c r="AY5" s="436"/>
      <c r="AZ5" s="436"/>
      <c r="BA5" s="436"/>
      <c r="BB5" s="436"/>
      <c r="BC5" s="436"/>
      <c r="BD5" s="436"/>
      <c r="BE5" s="436"/>
      <c r="BF5" s="436"/>
      <c r="BG5" s="436"/>
      <c r="BH5" s="436"/>
      <c r="BI5" s="436"/>
      <c r="BJ5" s="436"/>
      <c r="BK5" s="436"/>
      <c r="BL5" s="436"/>
      <c r="BM5" s="436"/>
      <c r="BN5" s="436"/>
      <c r="BO5" s="436"/>
      <c r="BP5" s="436"/>
      <c r="BQ5" s="436"/>
      <c r="BR5" s="436"/>
      <c r="BS5" s="436"/>
      <c r="BT5" s="436"/>
      <c r="BU5" s="436"/>
      <c r="BV5" s="436"/>
      <c r="BW5" s="436"/>
      <c r="BX5" s="436"/>
      <c r="BY5" s="436"/>
      <c r="BZ5" s="436"/>
      <c r="CA5" s="436"/>
      <c r="CB5" s="436"/>
      <c r="CC5" s="436"/>
      <c r="CD5" s="436"/>
      <c r="CE5" s="437">
        <v>3</v>
      </c>
      <c r="CF5" s="437">
        <v>3</v>
      </c>
      <c r="CG5" s="437">
        <v>3</v>
      </c>
      <c r="CH5" s="437">
        <v>3</v>
      </c>
      <c r="CI5" s="437">
        <v>3</v>
      </c>
      <c r="CJ5" s="437">
        <v>3</v>
      </c>
      <c r="CK5" s="437">
        <v>3</v>
      </c>
      <c r="CL5" s="437">
        <v>3</v>
      </c>
      <c r="CM5" s="437">
        <v>3</v>
      </c>
      <c r="CN5" s="437">
        <v>3</v>
      </c>
      <c r="CO5" s="437">
        <f t="shared" si="0"/>
        <v>95</v>
      </c>
      <c r="CP5" s="438">
        <f ca="1">ROUND(CO5*'1、课程目标与考核方式'!$H$13/100+IF(ISERROR(VLOOKUP(A5,'4、平时成绩'!$A$2:$H$201,8,FALSE)),0,VLOOKUP(A5,'4、平时成绩'!$A$2:$H$201,8,FALSE)),0)</f>
        <v>66</v>
      </c>
    </row>
    <row r="6" s="32" customFormat="1" spans="1:94">
      <c r="A6" s="433" t="s">
        <v>174</v>
      </c>
      <c r="B6" s="434" t="s">
        <v>175</v>
      </c>
      <c r="C6" s="435">
        <v>19</v>
      </c>
      <c r="D6" s="435">
        <v>19</v>
      </c>
      <c r="E6" s="435">
        <v>19</v>
      </c>
      <c r="F6" s="435">
        <v>19</v>
      </c>
      <c r="G6" s="435">
        <v>19</v>
      </c>
      <c r="H6" s="435"/>
      <c r="I6" s="435"/>
      <c r="J6" s="435"/>
      <c r="K6" s="435"/>
      <c r="L6" s="435"/>
      <c r="M6" s="435"/>
      <c r="N6" s="435"/>
      <c r="O6" s="435"/>
      <c r="P6" s="435"/>
      <c r="Q6" s="435"/>
      <c r="R6" s="435"/>
      <c r="S6" s="435"/>
      <c r="T6" s="435"/>
      <c r="U6" s="435"/>
      <c r="V6" s="435"/>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6"/>
      <c r="AY6" s="436"/>
      <c r="AZ6" s="436"/>
      <c r="BA6" s="436"/>
      <c r="BB6" s="436"/>
      <c r="BC6" s="436"/>
      <c r="BD6" s="436"/>
      <c r="BE6" s="436"/>
      <c r="BF6" s="436"/>
      <c r="BG6" s="436"/>
      <c r="BH6" s="436"/>
      <c r="BI6" s="436"/>
      <c r="BJ6" s="436"/>
      <c r="BK6" s="436"/>
      <c r="BL6" s="436"/>
      <c r="BM6" s="436"/>
      <c r="BN6" s="436"/>
      <c r="BO6" s="436"/>
      <c r="BP6" s="436"/>
      <c r="BQ6" s="436"/>
      <c r="BR6" s="436"/>
      <c r="BS6" s="436"/>
      <c r="BT6" s="436"/>
      <c r="BU6" s="436"/>
      <c r="BV6" s="436"/>
      <c r="BW6" s="436"/>
      <c r="BX6" s="436"/>
      <c r="BY6" s="436"/>
      <c r="BZ6" s="436"/>
      <c r="CA6" s="436"/>
      <c r="CB6" s="436"/>
      <c r="CC6" s="436"/>
      <c r="CD6" s="436"/>
      <c r="CE6" s="437">
        <v>4</v>
      </c>
      <c r="CF6" s="437">
        <v>4</v>
      </c>
      <c r="CG6" s="437">
        <v>4</v>
      </c>
      <c r="CH6" s="437">
        <v>4</v>
      </c>
      <c r="CI6" s="437">
        <v>4</v>
      </c>
      <c r="CJ6" s="437">
        <v>4</v>
      </c>
      <c r="CK6" s="437">
        <v>4</v>
      </c>
      <c r="CL6" s="437">
        <v>4</v>
      </c>
      <c r="CM6" s="437">
        <v>4</v>
      </c>
      <c r="CN6" s="437">
        <v>4</v>
      </c>
      <c r="CO6" s="437">
        <f t="shared" si="0"/>
        <v>95</v>
      </c>
      <c r="CP6" s="438">
        <f ca="1">ROUND(CO6*'1、课程目标与考核方式'!$H$13/100+IF(ISERROR(VLOOKUP(A6,'4、平时成绩'!$A$2:$H$201,8,FALSE)),0,VLOOKUP(A6,'4、平时成绩'!$A$2:$H$201,8,FALSE)),0)</f>
        <v>72</v>
      </c>
    </row>
    <row r="7" s="32" customFormat="1" spans="1:94">
      <c r="A7" s="433" t="s">
        <v>176</v>
      </c>
      <c r="B7" s="434" t="s">
        <v>177</v>
      </c>
      <c r="C7" s="435">
        <v>19</v>
      </c>
      <c r="D7" s="435">
        <v>19</v>
      </c>
      <c r="E7" s="435">
        <v>19</v>
      </c>
      <c r="F7" s="435">
        <v>19</v>
      </c>
      <c r="G7" s="435">
        <v>19</v>
      </c>
      <c r="H7" s="435"/>
      <c r="I7" s="435"/>
      <c r="J7" s="435"/>
      <c r="K7" s="435"/>
      <c r="L7" s="435"/>
      <c r="M7" s="435"/>
      <c r="N7" s="435"/>
      <c r="O7" s="435"/>
      <c r="P7" s="435"/>
      <c r="Q7" s="435"/>
      <c r="R7" s="435"/>
      <c r="S7" s="435"/>
      <c r="T7" s="435"/>
      <c r="U7" s="435"/>
      <c r="V7" s="435"/>
      <c r="W7" s="436"/>
      <c r="X7" s="436"/>
      <c r="Y7" s="436"/>
      <c r="Z7" s="436"/>
      <c r="AA7" s="436"/>
      <c r="AB7" s="436"/>
      <c r="AC7" s="436"/>
      <c r="AD7" s="436"/>
      <c r="AE7" s="436"/>
      <c r="AF7" s="436"/>
      <c r="AG7" s="436"/>
      <c r="AH7" s="436"/>
      <c r="AI7" s="436"/>
      <c r="AJ7" s="436"/>
      <c r="AK7" s="436"/>
      <c r="AL7" s="436"/>
      <c r="AM7" s="436"/>
      <c r="AN7" s="436"/>
      <c r="AO7" s="436"/>
      <c r="AP7" s="436"/>
      <c r="AQ7" s="436"/>
      <c r="AR7" s="436"/>
      <c r="AS7" s="436"/>
      <c r="AT7" s="436"/>
      <c r="AU7" s="436"/>
      <c r="AV7" s="436"/>
      <c r="AW7" s="436"/>
      <c r="AX7" s="436"/>
      <c r="AY7" s="436"/>
      <c r="AZ7" s="436"/>
      <c r="BA7" s="436"/>
      <c r="BB7" s="436"/>
      <c r="BC7" s="436"/>
      <c r="BD7" s="436"/>
      <c r="BE7" s="436"/>
      <c r="BF7" s="436"/>
      <c r="BG7" s="436"/>
      <c r="BH7" s="436"/>
      <c r="BI7" s="436"/>
      <c r="BJ7" s="436"/>
      <c r="BK7" s="436"/>
      <c r="BL7" s="436"/>
      <c r="BM7" s="436"/>
      <c r="BN7" s="436"/>
      <c r="BO7" s="436"/>
      <c r="BP7" s="436"/>
      <c r="BQ7" s="436"/>
      <c r="BR7" s="436"/>
      <c r="BS7" s="436"/>
      <c r="BT7" s="436"/>
      <c r="BU7" s="436"/>
      <c r="BV7" s="436"/>
      <c r="BW7" s="436"/>
      <c r="BX7" s="436"/>
      <c r="BY7" s="436"/>
      <c r="BZ7" s="436"/>
      <c r="CA7" s="436"/>
      <c r="CB7" s="436"/>
      <c r="CC7" s="436"/>
      <c r="CD7" s="436"/>
      <c r="CE7" s="437">
        <v>5</v>
      </c>
      <c r="CF7" s="437">
        <v>5</v>
      </c>
      <c r="CG7" s="437">
        <v>5</v>
      </c>
      <c r="CH7" s="437">
        <v>5</v>
      </c>
      <c r="CI7" s="437">
        <v>5</v>
      </c>
      <c r="CJ7" s="437">
        <v>5</v>
      </c>
      <c r="CK7" s="437">
        <v>5</v>
      </c>
      <c r="CL7" s="437">
        <v>5</v>
      </c>
      <c r="CM7" s="437">
        <v>5</v>
      </c>
      <c r="CN7" s="437">
        <v>5</v>
      </c>
      <c r="CO7" s="437">
        <f t="shared" si="0"/>
        <v>95</v>
      </c>
      <c r="CP7" s="438">
        <f ca="1">ROUND(CO7*'1、课程目标与考核方式'!$H$13/100+IF(ISERROR(VLOOKUP(A7,'4、平时成绩'!$A$2:$H$201,8,FALSE)),0,VLOOKUP(A7,'4、平时成绩'!$A$2:$H$201,8,FALSE)),0)</f>
        <v>72</v>
      </c>
    </row>
    <row r="8" s="32" customFormat="1" spans="1:94">
      <c r="A8" s="433" t="s">
        <v>178</v>
      </c>
      <c r="B8" s="434" t="s">
        <v>179</v>
      </c>
      <c r="C8" s="435">
        <v>19</v>
      </c>
      <c r="D8" s="435">
        <v>19</v>
      </c>
      <c r="E8" s="435">
        <v>19</v>
      </c>
      <c r="F8" s="435">
        <v>19</v>
      </c>
      <c r="G8" s="435">
        <v>19</v>
      </c>
      <c r="H8" s="435"/>
      <c r="I8" s="435"/>
      <c r="J8" s="435"/>
      <c r="K8" s="435"/>
      <c r="L8" s="435"/>
      <c r="M8" s="435"/>
      <c r="N8" s="435"/>
      <c r="O8" s="435"/>
      <c r="P8" s="435"/>
      <c r="Q8" s="435"/>
      <c r="R8" s="435"/>
      <c r="S8" s="435"/>
      <c r="T8" s="435"/>
      <c r="U8" s="435"/>
      <c r="V8" s="435"/>
      <c r="W8" s="436"/>
      <c r="X8" s="436"/>
      <c r="Y8" s="436"/>
      <c r="Z8" s="436"/>
      <c r="AA8" s="436"/>
      <c r="AB8" s="436"/>
      <c r="AC8" s="436"/>
      <c r="AD8" s="436"/>
      <c r="AE8" s="436"/>
      <c r="AF8" s="436"/>
      <c r="AG8" s="436"/>
      <c r="AH8" s="436"/>
      <c r="AI8" s="436"/>
      <c r="AJ8" s="436"/>
      <c r="AK8" s="436"/>
      <c r="AL8" s="436"/>
      <c r="AM8" s="436"/>
      <c r="AN8" s="436"/>
      <c r="AO8" s="436"/>
      <c r="AP8" s="436"/>
      <c r="AQ8" s="436"/>
      <c r="AR8" s="436"/>
      <c r="AS8" s="436"/>
      <c r="AT8" s="436"/>
      <c r="AU8" s="436"/>
      <c r="AV8" s="436"/>
      <c r="AW8" s="436"/>
      <c r="AX8" s="436"/>
      <c r="AY8" s="436"/>
      <c r="AZ8" s="436"/>
      <c r="BA8" s="436"/>
      <c r="BB8" s="436"/>
      <c r="BC8" s="436"/>
      <c r="BD8" s="436"/>
      <c r="BE8" s="436"/>
      <c r="BF8" s="436"/>
      <c r="BG8" s="436"/>
      <c r="BH8" s="436"/>
      <c r="BI8" s="436"/>
      <c r="BJ8" s="436"/>
      <c r="BK8" s="436"/>
      <c r="BL8" s="436"/>
      <c r="BM8" s="436"/>
      <c r="BN8" s="436"/>
      <c r="BO8" s="436"/>
      <c r="BP8" s="436"/>
      <c r="BQ8" s="436"/>
      <c r="BR8" s="436"/>
      <c r="BS8" s="436"/>
      <c r="BT8" s="436"/>
      <c r="BU8" s="436"/>
      <c r="BV8" s="436"/>
      <c r="BW8" s="436"/>
      <c r="BX8" s="436"/>
      <c r="BY8" s="436"/>
      <c r="BZ8" s="436"/>
      <c r="CA8" s="436"/>
      <c r="CB8" s="436"/>
      <c r="CC8" s="436"/>
      <c r="CD8" s="436"/>
      <c r="CE8" s="437">
        <v>6</v>
      </c>
      <c r="CF8" s="437">
        <v>6</v>
      </c>
      <c r="CG8" s="437">
        <v>6</v>
      </c>
      <c r="CH8" s="437">
        <v>6</v>
      </c>
      <c r="CI8" s="437">
        <v>6</v>
      </c>
      <c r="CJ8" s="437">
        <v>6</v>
      </c>
      <c r="CK8" s="437">
        <v>6</v>
      </c>
      <c r="CL8" s="437">
        <v>6</v>
      </c>
      <c r="CM8" s="437">
        <v>6</v>
      </c>
      <c r="CN8" s="437">
        <v>6</v>
      </c>
      <c r="CO8" s="437">
        <f t="shared" si="0"/>
        <v>95</v>
      </c>
      <c r="CP8" s="438">
        <f ca="1">ROUND(CO8*'1、课程目标与考核方式'!$H$13/100+IF(ISERROR(VLOOKUP(A8,'4、平时成绩'!$A$2:$H$201,8,FALSE)),0,VLOOKUP(A8,'4、平时成绩'!$A$2:$H$201,8,FALSE)),0)</f>
        <v>66</v>
      </c>
    </row>
    <row r="9" s="32" customFormat="1" spans="1:94">
      <c r="A9" s="433" t="s">
        <v>180</v>
      </c>
      <c r="B9" s="434" t="s">
        <v>181</v>
      </c>
      <c r="C9" s="435">
        <v>19</v>
      </c>
      <c r="D9" s="435">
        <v>19</v>
      </c>
      <c r="E9" s="435">
        <v>19</v>
      </c>
      <c r="F9" s="435">
        <v>19</v>
      </c>
      <c r="G9" s="435">
        <v>19</v>
      </c>
      <c r="H9" s="435"/>
      <c r="I9" s="435"/>
      <c r="J9" s="435"/>
      <c r="K9" s="435"/>
      <c r="L9" s="435"/>
      <c r="M9" s="435"/>
      <c r="N9" s="435"/>
      <c r="O9" s="435"/>
      <c r="P9" s="435"/>
      <c r="Q9" s="435"/>
      <c r="R9" s="435"/>
      <c r="S9" s="435"/>
      <c r="T9" s="435"/>
      <c r="U9" s="435"/>
      <c r="V9" s="435"/>
      <c r="W9" s="436"/>
      <c r="X9" s="436"/>
      <c r="Y9" s="436"/>
      <c r="Z9" s="436"/>
      <c r="AA9" s="436"/>
      <c r="AB9" s="436"/>
      <c r="AC9" s="436"/>
      <c r="AD9" s="436"/>
      <c r="AE9" s="436"/>
      <c r="AF9" s="436"/>
      <c r="AG9" s="436"/>
      <c r="AH9" s="436"/>
      <c r="AI9" s="436"/>
      <c r="AJ9" s="436"/>
      <c r="AK9" s="436"/>
      <c r="AL9" s="436"/>
      <c r="AM9" s="436"/>
      <c r="AN9" s="436"/>
      <c r="AO9" s="436"/>
      <c r="AP9" s="436"/>
      <c r="AQ9" s="436"/>
      <c r="AR9" s="436"/>
      <c r="AS9" s="436"/>
      <c r="AT9" s="436"/>
      <c r="AU9" s="436"/>
      <c r="AV9" s="436"/>
      <c r="AW9" s="436"/>
      <c r="AX9" s="436"/>
      <c r="AY9" s="436"/>
      <c r="AZ9" s="436"/>
      <c r="BA9" s="436"/>
      <c r="BB9" s="436"/>
      <c r="BC9" s="436"/>
      <c r="BD9" s="436"/>
      <c r="BE9" s="436"/>
      <c r="BF9" s="436"/>
      <c r="BG9" s="436"/>
      <c r="BH9" s="436"/>
      <c r="BI9" s="436"/>
      <c r="BJ9" s="436"/>
      <c r="BK9" s="436"/>
      <c r="BL9" s="436"/>
      <c r="BM9" s="436"/>
      <c r="BN9" s="436"/>
      <c r="BO9" s="436"/>
      <c r="BP9" s="436"/>
      <c r="BQ9" s="436"/>
      <c r="BR9" s="436"/>
      <c r="BS9" s="436"/>
      <c r="BT9" s="436"/>
      <c r="BU9" s="436"/>
      <c r="BV9" s="436"/>
      <c r="BW9" s="436"/>
      <c r="BX9" s="436"/>
      <c r="BY9" s="436"/>
      <c r="BZ9" s="436"/>
      <c r="CA9" s="436"/>
      <c r="CB9" s="436"/>
      <c r="CC9" s="436"/>
      <c r="CD9" s="436"/>
      <c r="CE9" s="437">
        <v>7</v>
      </c>
      <c r="CF9" s="437">
        <v>7</v>
      </c>
      <c r="CG9" s="437">
        <v>7</v>
      </c>
      <c r="CH9" s="437">
        <v>7</v>
      </c>
      <c r="CI9" s="437">
        <v>7</v>
      </c>
      <c r="CJ9" s="437">
        <v>7</v>
      </c>
      <c r="CK9" s="437">
        <v>7</v>
      </c>
      <c r="CL9" s="437">
        <v>7</v>
      </c>
      <c r="CM9" s="437">
        <v>7</v>
      </c>
      <c r="CN9" s="437">
        <v>7</v>
      </c>
      <c r="CO9" s="437">
        <f t="shared" si="0"/>
        <v>95</v>
      </c>
      <c r="CP9" s="438">
        <f ca="1">ROUND(CO9*'1、课程目标与考核方式'!$H$13/100+IF(ISERROR(VLOOKUP(A9,'4、平时成绩'!$A$2:$H$201,8,FALSE)),0,VLOOKUP(A9,'4、平时成绩'!$A$2:$H$201,8,FALSE)),0)</f>
        <v>70</v>
      </c>
    </row>
    <row r="10" s="32" customFormat="1" spans="1:94">
      <c r="A10" s="433" t="s">
        <v>182</v>
      </c>
      <c r="B10" s="434" t="s">
        <v>183</v>
      </c>
      <c r="C10" s="435">
        <v>19</v>
      </c>
      <c r="D10" s="435">
        <v>19</v>
      </c>
      <c r="E10" s="435">
        <v>19</v>
      </c>
      <c r="F10" s="435">
        <v>19</v>
      </c>
      <c r="G10" s="435">
        <v>19</v>
      </c>
      <c r="H10" s="435"/>
      <c r="I10" s="435"/>
      <c r="J10" s="435"/>
      <c r="K10" s="435"/>
      <c r="L10" s="435"/>
      <c r="M10" s="435"/>
      <c r="N10" s="435"/>
      <c r="O10" s="435"/>
      <c r="P10" s="435"/>
      <c r="Q10" s="435"/>
      <c r="R10" s="435"/>
      <c r="S10" s="435"/>
      <c r="T10" s="435"/>
      <c r="U10" s="435"/>
      <c r="V10" s="435"/>
      <c r="W10" s="436"/>
      <c r="X10" s="436"/>
      <c r="Y10" s="436"/>
      <c r="Z10" s="436"/>
      <c r="AA10" s="436"/>
      <c r="AB10" s="436"/>
      <c r="AC10" s="436"/>
      <c r="AD10" s="436"/>
      <c r="AE10" s="436"/>
      <c r="AF10" s="436"/>
      <c r="AG10" s="436"/>
      <c r="AH10" s="436"/>
      <c r="AI10" s="436"/>
      <c r="AJ10" s="436"/>
      <c r="AK10" s="436"/>
      <c r="AL10" s="436"/>
      <c r="AM10" s="436"/>
      <c r="AN10" s="436"/>
      <c r="AO10" s="436"/>
      <c r="AP10" s="436"/>
      <c r="AQ10" s="436"/>
      <c r="AR10" s="436"/>
      <c r="AS10" s="436"/>
      <c r="AT10" s="436"/>
      <c r="AU10" s="436"/>
      <c r="AV10" s="436"/>
      <c r="AW10" s="436"/>
      <c r="AX10" s="436"/>
      <c r="AY10" s="436"/>
      <c r="AZ10" s="436"/>
      <c r="BA10" s="436"/>
      <c r="BB10" s="436"/>
      <c r="BC10" s="436"/>
      <c r="BD10" s="436"/>
      <c r="BE10" s="436"/>
      <c r="BF10" s="436"/>
      <c r="BG10" s="436"/>
      <c r="BH10" s="436"/>
      <c r="BI10" s="436"/>
      <c r="BJ10" s="436"/>
      <c r="BK10" s="436"/>
      <c r="BL10" s="436"/>
      <c r="BM10" s="436"/>
      <c r="BN10" s="436"/>
      <c r="BO10" s="436"/>
      <c r="BP10" s="436"/>
      <c r="BQ10" s="436"/>
      <c r="BR10" s="436"/>
      <c r="BS10" s="436"/>
      <c r="BT10" s="436"/>
      <c r="BU10" s="436"/>
      <c r="BV10" s="436"/>
      <c r="BW10" s="436"/>
      <c r="BX10" s="436"/>
      <c r="BY10" s="436"/>
      <c r="BZ10" s="436"/>
      <c r="CA10" s="436"/>
      <c r="CB10" s="436"/>
      <c r="CC10" s="436"/>
      <c r="CD10" s="436"/>
      <c r="CE10" s="437">
        <v>8</v>
      </c>
      <c r="CF10" s="437">
        <v>8</v>
      </c>
      <c r="CG10" s="437">
        <v>8</v>
      </c>
      <c r="CH10" s="437">
        <v>8</v>
      </c>
      <c r="CI10" s="437">
        <v>8</v>
      </c>
      <c r="CJ10" s="437">
        <v>8</v>
      </c>
      <c r="CK10" s="437">
        <v>8</v>
      </c>
      <c r="CL10" s="437">
        <v>8</v>
      </c>
      <c r="CM10" s="437">
        <v>8</v>
      </c>
      <c r="CN10" s="437">
        <v>8</v>
      </c>
      <c r="CO10" s="437">
        <f t="shared" si="0"/>
        <v>95</v>
      </c>
      <c r="CP10" s="438">
        <f ca="1">ROUND(CO10*'1、课程目标与考核方式'!$H$13/100+IF(ISERROR(VLOOKUP(A10,'4、平时成绩'!$A$2:$H$201,8,FALSE)),0,VLOOKUP(A10,'4、平时成绩'!$A$2:$H$201,8,FALSE)),0)</f>
        <v>67</v>
      </c>
    </row>
    <row r="11" s="32" customFormat="1" spans="1:94">
      <c r="A11" s="433" t="s">
        <v>184</v>
      </c>
      <c r="B11" s="434" t="s">
        <v>185</v>
      </c>
      <c r="C11" s="435">
        <v>19</v>
      </c>
      <c r="D11" s="435">
        <v>19</v>
      </c>
      <c r="E11" s="435">
        <v>19</v>
      </c>
      <c r="F11" s="435">
        <v>19</v>
      </c>
      <c r="G11" s="435">
        <v>19</v>
      </c>
      <c r="H11" s="435"/>
      <c r="I11" s="435"/>
      <c r="J11" s="435"/>
      <c r="K11" s="435"/>
      <c r="L11" s="435"/>
      <c r="M11" s="435"/>
      <c r="N11" s="435"/>
      <c r="O11" s="435"/>
      <c r="P11" s="435"/>
      <c r="Q11" s="435"/>
      <c r="R11" s="435"/>
      <c r="S11" s="435"/>
      <c r="T11" s="435"/>
      <c r="U11" s="435"/>
      <c r="V11" s="435"/>
      <c r="W11" s="436"/>
      <c r="X11" s="436"/>
      <c r="Y11" s="436"/>
      <c r="Z11" s="436"/>
      <c r="AA11" s="436"/>
      <c r="AB11" s="436"/>
      <c r="AC11" s="436"/>
      <c r="AD11" s="436"/>
      <c r="AE11" s="436"/>
      <c r="AF11" s="436"/>
      <c r="AG11" s="436"/>
      <c r="AH11" s="436"/>
      <c r="AI11" s="436"/>
      <c r="AJ11" s="436"/>
      <c r="AK11" s="436"/>
      <c r="AL11" s="436"/>
      <c r="AM11" s="436"/>
      <c r="AN11" s="436"/>
      <c r="AO11" s="436"/>
      <c r="AP11" s="436"/>
      <c r="AQ11" s="436"/>
      <c r="AR11" s="436"/>
      <c r="AS11" s="436"/>
      <c r="AT11" s="436"/>
      <c r="AU11" s="436"/>
      <c r="AV11" s="436"/>
      <c r="AW11" s="436"/>
      <c r="AX11" s="436"/>
      <c r="AY11" s="436"/>
      <c r="AZ11" s="436"/>
      <c r="BA11" s="436"/>
      <c r="BB11" s="436"/>
      <c r="BC11" s="436"/>
      <c r="BD11" s="436"/>
      <c r="BE11" s="436"/>
      <c r="BF11" s="436"/>
      <c r="BG11" s="436"/>
      <c r="BH11" s="436"/>
      <c r="BI11" s="436"/>
      <c r="BJ11" s="436"/>
      <c r="BK11" s="436"/>
      <c r="BL11" s="436"/>
      <c r="BM11" s="436"/>
      <c r="BN11" s="436"/>
      <c r="BO11" s="436"/>
      <c r="BP11" s="436"/>
      <c r="BQ11" s="436"/>
      <c r="BR11" s="436"/>
      <c r="BS11" s="436"/>
      <c r="BT11" s="436"/>
      <c r="BU11" s="436"/>
      <c r="BV11" s="436"/>
      <c r="BW11" s="436"/>
      <c r="BX11" s="436"/>
      <c r="BY11" s="436"/>
      <c r="BZ11" s="436"/>
      <c r="CA11" s="436"/>
      <c r="CB11" s="436"/>
      <c r="CC11" s="436"/>
      <c r="CD11" s="436"/>
      <c r="CE11" s="437">
        <v>9</v>
      </c>
      <c r="CF11" s="437">
        <v>9</v>
      </c>
      <c r="CG11" s="437">
        <v>9</v>
      </c>
      <c r="CH11" s="437">
        <v>9</v>
      </c>
      <c r="CI11" s="437">
        <v>9</v>
      </c>
      <c r="CJ11" s="437">
        <v>9</v>
      </c>
      <c r="CK11" s="437">
        <v>9</v>
      </c>
      <c r="CL11" s="437">
        <v>9</v>
      </c>
      <c r="CM11" s="437">
        <v>9</v>
      </c>
      <c r="CN11" s="437">
        <v>9</v>
      </c>
      <c r="CO11" s="437">
        <f t="shared" si="0"/>
        <v>95</v>
      </c>
      <c r="CP11" s="438">
        <f ca="1">ROUND(CO11*'1、课程目标与考核方式'!$H$13/100+IF(ISERROR(VLOOKUP(A11,'4、平时成绩'!$A$2:$H$201,8,FALSE)),0,VLOOKUP(A11,'4、平时成绩'!$A$2:$H$201,8,FALSE)),0)</f>
        <v>68</v>
      </c>
    </row>
    <row r="12" s="32" customFormat="1" spans="1:94">
      <c r="A12" s="433" t="s">
        <v>186</v>
      </c>
      <c r="B12" s="434" t="s">
        <v>187</v>
      </c>
      <c r="C12" s="435">
        <v>19</v>
      </c>
      <c r="D12" s="435">
        <v>19</v>
      </c>
      <c r="E12" s="435">
        <v>19</v>
      </c>
      <c r="F12" s="435">
        <v>19</v>
      </c>
      <c r="G12" s="435">
        <v>19</v>
      </c>
      <c r="H12" s="435"/>
      <c r="I12" s="435"/>
      <c r="J12" s="435"/>
      <c r="K12" s="435"/>
      <c r="L12" s="435"/>
      <c r="M12" s="435"/>
      <c r="N12" s="435"/>
      <c r="O12" s="435"/>
      <c r="P12" s="435"/>
      <c r="Q12" s="435"/>
      <c r="R12" s="435"/>
      <c r="S12" s="435"/>
      <c r="T12" s="435"/>
      <c r="U12" s="435"/>
      <c r="V12" s="435"/>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436"/>
      <c r="AU12" s="436"/>
      <c r="AV12" s="436"/>
      <c r="AW12" s="436"/>
      <c r="AX12" s="436"/>
      <c r="AY12" s="436"/>
      <c r="AZ12" s="436"/>
      <c r="BA12" s="436"/>
      <c r="BB12" s="436"/>
      <c r="BC12" s="436"/>
      <c r="BD12" s="436"/>
      <c r="BE12" s="436"/>
      <c r="BF12" s="436"/>
      <c r="BG12" s="436"/>
      <c r="BH12" s="436"/>
      <c r="BI12" s="436"/>
      <c r="BJ12" s="436"/>
      <c r="BK12" s="436"/>
      <c r="BL12" s="436"/>
      <c r="BM12" s="436"/>
      <c r="BN12" s="436"/>
      <c r="BO12" s="436"/>
      <c r="BP12" s="436"/>
      <c r="BQ12" s="436"/>
      <c r="BR12" s="436"/>
      <c r="BS12" s="436"/>
      <c r="BT12" s="436"/>
      <c r="BU12" s="436"/>
      <c r="BV12" s="436"/>
      <c r="BW12" s="436"/>
      <c r="BX12" s="436"/>
      <c r="BY12" s="436"/>
      <c r="BZ12" s="436"/>
      <c r="CA12" s="436"/>
      <c r="CB12" s="436"/>
      <c r="CC12" s="436"/>
      <c r="CD12" s="436"/>
      <c r="CE12" s="437">
        <v>10</v>
      </c>
      <c r="CF12" s="437">
        <v>10</v>
      </c>
      <c r="CG12" s="437">
        <v>10</v>
      </c>
      <c r="CH12" s="437">
        <v>10</v>
      </c>
      <c r="CI12" s="437">
        <v>10</v>
      </c>
      <c r="CJ12" s="437">
        <v>10</v>
      </c>
      <c r="CK12" s="437">
        <v>10</v>
      </c>
      <c r="CL12" s="437">
        <v>10</v>
      </c>
      <c r="CM12" s="437">
        <v>10</v>
      </c>
      <c r="CN12" s="437">
        <v>10</v>
      </c>
      <c r="CO12" s="437">
        <f t="shared" si="0"/>
        <v>95</v>
      </c>
      <c r="CP12" s="438">
        <f ca="1">ROUND(CO12*'1、课程目标与考核方式'!$H$13/100+IF(ISERROR(VLOOKUP(A12,'4、平时成绩'!$A$2:$H$201,8,FALSE)),0,VLOOKUP(A12,'4、平时成绩'!$A$2:$H$201,8,FALSE)),0)</f>
        <v>68</v>
      </c>
    </row>
    <row r="13" s="32" customFormat="1" spans="1:94">
      <c r="A13" s="433" t="s">
        <v>188</v>
      </c>
      <c r="B13" s="434" t="s">
        <v>189</v>
      </c>
      <c r="C13" s="435">
        <v>19</v>
      </c>
      <c r="D13" s="435">
        <v>19</v>
      </c>
      <c r="E13" s="435">
        <v>19</v>
      </c>
      <c r="F13" s="435">
        <v>19</v>
      </c>
      <c r="G13" s="435">
        <v>19</v>
      </c>
      <c r="H13" s="435"/>
      <c r="I13" s="435"/>
      <c r="J13" s="435"/>
      <c r="K13" s="435"/>
      <c r="L13" s="435"/>
      <c r="M13" s="435"/>
      <c r="N13" s="435"/>
      <c r="O13" s="435"/>
      <c r="P13" s="435"/>
      <c r="Q13" s="435"/>
      <c r="R13" s="435"/>
      <c r="S13" s="435"/>
      <c r="T13" s="435"/>
      <c r="U13" s="435"/>
      <c r="V13" s="435"/>
      <c r="W13" s="436"/>
      <c r="X13" s="436"/>
      <c r="Y13" s="436"/>
      <c r="Z13" s="436"/>
      <c r="AA13" s="436"/>
      <c r="AB13" s="436"/>
      <c r="AC13" s="436"/>
      <c r="AD13" s="436"/>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436"/>
      <c r="BC13" s="436"/>
      <c r="BD13" s="436"/>
      <c r="BE13" s="436"/>
      <c r="BF13" s="436"/>
      <c r="BG13" s="436"/>
      <c r="BH13" s="436"/>
      <c r="BI13" s="436"/>
      <c r="BJ13" s="436"/>
      <c r="BK13" s="436"/>
      <c r="BL13" s="436"/>
      <c r="BM13" s="436"/>
      <c r="BN13" s="436"/>
      <c r="BO13" s="436"/>
      <c r="BP13" s="436"/>
      <c r="BQ13" s="436"/>
      <c r="BR13" s="436"/>
      <c r="BS13" s="436"/>
      <c r="BT13" s="436"/>
      <c r="BU13" s="436"/>
      <c r="BV13" s="436"/>
      <c r="BW13" s="436"/>
      <c r="BX13" s="436"/>
      <c r="BY13" s="436"/>
      <c r="BZ13" s="436"/>
      <c r="CA13" s="436"/>
      <c r="CB13" s="436"/>
      <c r="CC13" s="436"/>
      <c r="CD13" s="436"/>
      <c r="CE13" s="437">
        <v>11</v>
      </c>
      <c r="CF13" s="437">
        <v>11</v>
      </c>
      <c r="CG13" s="437">
        <v>11</v>
      </c>
      <c r="CH13" s="437">
        <v>11</v>
      </c>
      <c r="CI13" s="437">
        <v>11</v>
      </c>
      <c r="CJ13" s="437">
        <v>11</v>
      </c>
      <c r="CK13" s="437">
        <v>11</v>
      </c>
      <c r="CL13" s="437">
        <v>11</v>
      </c>
      <c r="CM13" s="437">
        <v>11</v>
      </c>
      <c r="CN13" s="437">
        <v>11</v>
      </c>
      <c r="CO13" s="437">
        <f t="shared" si="0"/>
        <v>95</v>
      </c>
      <c r="CP13" s="438">
        <f ca="1">ROUND(CO13*'1、课程目标与考核方式'!$H$13/100+IF(ISERROR(VLOOKUP(A13,'4、平时成绩'!$A$2:$H$201,8,FALSE)),0,VLOOKUP(A13,'4、平时成绩'!$A$2:$H$201,8,FALSE)),0)</f>
        <v>72</v>
      </c>
    </row>
    <row r="14" s="32" customFormat="1" spans="1:94">
      <c r="A14" s="433" t="s">
        <v>190</v>
      </c>
      <c r="B14" s="434" t="s">
        <v>191</v>
      </c>
      <c r="C14" s="435">
        <v>19</v>
      </c>
      <c r="D14" s="435">
        <v>19</v>
      </c>
      <c r="E14" s="435">
        <v>19</v>
      </c>
      <c r="F14" s="435">
        <v>19</v>
      </c>
      <c r="G14" s="435">
        <v>19</v>
      </c>
      <c r="H14" s="435"/>
      <c r="I14" s="435"/>
      <c r="J14" s="435"/>
      <c r="K14" s="435"/>
      <c r="L14" s="435"/>
      <c r="M14" s="435"/>
      <c r="N14" s="435"/>
      <c r="O14" s="435"/>
      <c r="P14" s="435"/>
      <c r="Q14" s="435"/>
      <c r="R14" s="435"/>
      <c r="S14" s="435"/>
      <c r="T14" s="435"/>
      <c r="U14" s="435"/>
      <c r="V14" s="435"/>
      <c r="W14" s="436"/>
      <c r="X14" s="436"/>
      <c r="Y14" s="436"/>
      <c r="Z14" s="436"/>
      <c r="AA14" s="436"/>
      <c r="AB14" s="436"/>
      <c r="AC14" s="436"/>
      <c r="AD14" s="436"/>
      <c r="AE14" s="436"/>
      <c r="AF14" s="436"/>
      <c r="AG14" s="436"/>
      <c r="AH14" s="436"/>
      <c r="AI14" s="436"/>
      <c r="AJ14" s="436"/>
      <c r="AK14" s="436"/>
      <c r="AL14" s="436"/>
      <c r="AM14" s="436"/>
      <c r="AN14" s="436"/>
      <c r="AO14" s="436"/>
      <c r="AP14" s="436"/>
      <c r="AQ14" s="436"/>
      <c r="AR14" s="436"/>
      <c r="AS14" s="436"/>
      <c r="AT14" s="436"/>
      <c r="AU14" s="436"/>
      <c r="AV14" s="436"/>
      <c r="AW14" s="436"/>
      <c r="AX14" s="436"/>
      <c r="AY14" s="436"/>
      <c r="AZ14" s="436"/>
      <c r="BA14" s="436"/>
      <c r="BB14" s="436"/>
      <c r="BC14" s="436"/>
      <c r="BD14" s="436"/>
      <c r="BE14" s="436"/>
      <c r="BF14" s="436"/>
      <c r="BG14" s="436"/>
      <c r="BH14" s="436"/>
      <c r="BI14" s="436"/>
      <c r="BJ14" s="436"/>
      <c r="BK14" s="436"/>
      <c r="BL14" s="436"/>
      <c r="BM14" s="436"/>
      <c r="BN14" s="436"/>
      <c r="BO14" s="436"/>
      <c r="BP14" s="436"/>
      <c r="BQ14" s="436"/>
      <c r="BR14" s="436"/>
      <c r="BS14" s="436"/>
      <c r="BT14" s="436"/>
      <c r="BU14" s="436"/>
      <c r="BV14" s="436"/>
      <c r="BW14" s="436"/>
      <c r="BX14" s="436"/>
      <c r="BY14" s="436"/>
      <c r="BZ14" s="436"/>
      <c r="CA14" s="436"/>
      <c r="CB14" s="436"/>
      <c r="CC14" s="436"/>
      <c r="CD14" s="436"/>
      <c r="CE14" s="437">
        <v>12</v>
      </c>
      <c r="CF14" s="437">
        <v>12</v>
      </c>
      <c r="CG14" s="437">
        <v>12</v>
      </c>
      <c r="CH14" s="437">
        <v>12</v>
      </c>
      <c r="CI14" s="437">
        <v>12</v>
      </c>
      <c r="CJ14" s="437">
        <v>12</v>
      </c>
      <c r="CK14" s="437">
        <v>12</v>
      </c>
      <c r="CL14" s="437">
        <v>12</v>
      </c>
      <c r="CM14" s="437">
        <v>12</v>
      </c>
      <c r="CN14" s="437">
        <v>12</v>
      </c>
      <c r="CO14" s="437">
        <f t="shared" si="0"/>
        <v>95</v>
      </c>
      <c r="CP14" s="438">
        <f ca="1">ROUND(CO14*'1、课程目标与考核方式'!$H$13/100+IF(ISERROR(VLOOKUP(A14,'4、平时成绩'!$A$2:$H$201,8,FALSE)),0,VLOOKUP(A14,'4、平时成绩'!$A$2:$H$201,8,FALSE)),0)</f>
        <v>67</v>
      </c>
    </row>
    <row r="15" s="32" customFormat="1" spans="1:94">
      <c r="A15" s="433" t="s">
        <v>192</v>
      </c>
      <c r="B15" s="434" t="s">
        <v>193</v>
      </c>
      <c r="C15" s="435">
        <v>19</v>
      </c>
      <c r="D15" s="435">
        <v>19</v>
      </c>
      <c r="E15" s="435">
        <v>19</v>
      </c>
      <c r="F15" s="435">
        <v>19</v>
      </c>
      <c r="G15" s="435">
        <v>19</v>
      </c>
      <c r="H15" s="435"/>
      <c r="I15" s="435"/>
      <c r="J15" s="435"/>
      <c r="K15" s="435"/>
      <c r="L15" s="435"/>
      <c r="M15" s="435"/>
      <c r="N15" s="435"/>
      <c r="O15" s="435"/>
      <c r="P15" s="435"/>
      <c r="Q15" s="435"/>
      <c r="R15" s="435"/>
      <c r="S15" s="435"/>
      <c r="T15" s="435"/>
      <c r="U15" s="435"/>
      <c r="V15" s="435"/>
      <c r="W15" s="436"/>
      <c r="X15" s="436"/>
      <c r="Y15" s="436"/>
      <c r="Z15" s="436"/>
      <c r="AA15" s="436"/>
      <c r="AB15" s="436"/>
      <c r="AC15" s="436"/>
      <c r="AD15" s="436"/>
      <c r="AE15" s="436"/>
      <c r="AF15" s="436"/>
      <c r="AG15" s="436"/>
      <c r="AH15" s="436"/>
      <c r="AI15" s="436"/>
      <c r="AJ15" s="436"/>
      <c r="AK15" s="436"/>
      <c r="AL15" s="436"/>
      <c r="AM15" s="436"/>
      <c r="AN15" s="436"/>
      <c r="AO15" s="436"/>
      <c r="AP15" s="436"/>
      <c r="AQ15" s="436"/>
      <c r="AR15" s="436"/>
      <c r="AS15" s="436"/>
      <c r="AT15" s="436"/>
      <c r="AU15" s="436"/>
      <c r="AV15" s="436"/>
      <c r="AW15" s="436"/>
      <c r="AX15" s="436"/>
      <c r="AY15" s="436"/>
      <c r="AZ15" s="436"/>
      <c r="BA15" s="436"/>
      <c r="BB15" s="436"/>
      <c r="BC15" s="436"/>
      <c r="BD15" s="436"/>
      <c r="BE15" s="436"/>
      <c r="BF15" s="436"/>
      <c r="BG15" s="436"/>
      <c r="BH15" s="436"/>
      <c r="BI15" s="436"/>
      <c r="BJ15" s="436"/>
      <c r="BK15" s="436"/>
      <c r="BL15" s="436"/>
      <c r="BM15" s="436"/>
      <c r="BN15" s="436"/>
      <c r="BO15" s="436"/>
      <c r="BP15" s="436"/>
      <c r="BQ15" s="436"/>
      <c r="BR15" s="436"/>
      <c r="BS15" s="436"/>
      <c r="BT15" s="436"/>
      <c r="BU15" s="436"/>
      <c r="BV15" s="436"/>
      <c r="BW15" s="436"/>
      <c r="BX15" s="436"/>
      <c r="BY15" s="436"/>
      <c r="BZ15" s="436"/>
      <c r="CA15" s="436"/>
      <c r="CB15" s="436"/>
      <c r="CC15" s="436"/>
      <c r="CD15" s="436"/>
      <c r="CE15" s="437">
        <v>13</v>
      </c>
      <c r="CF15" s="437">
        <v>13</v>
      </c>
      <c r="CG15" s="437">
        <v>13</v>
      </c>
      <c r="CH15" s="437">
        <v>13</v>
      </c>
      <c r="CI15" s="437">
        <v>13</v>
      </c>
      <c r="CJ15" s="437">
        <v>13</v>
      </c>
      <c r="CK15" s="437">
        <v>13</v>
      </c>
      <c r="CL15" s="437">
        <v>13</v>
      </c>
      <c r="CM15" s="437">
        <v>13</v>
      </c>
      <c r="CN15" s="437">
        <v>13</v>
      </c>
      <c r="CO15" s="437">
        <f t="shared" si="0"/>
        <v>95</v>
      </c>
      <c r="CP15" s="438">
        <f ca="1">ROUND(CO15*'1、课程目标与考核方式'!$H$13/100+IF(ISERROR(VLOOKUP(A15,'4、平时成绩'!$A$2:$H$201,8,FALSE)),0,VLOOKUP(A15,'4、平时成绩'!$A$2:$H$201,8,FALSE)),0)</f>
        <v>70</v>
      </c>
    </row>
    <row r="16" s="32" customFormat="1" spans="1:94">
      <c r="A16" s="433" t="s">
        <v>194</v>
      </c>
      <c r="B16" s="434" t="s">
        <v>195</v>
      </c>
      <c r="C16" s="435">
        <v>19</v>
      </c>
      <c r="D16" s="435">
        <v>19</v>
      </c>
      <c r="E16" s="435">
        <v>19</v>
      </c>
      <c r="F16" s="435">
        <v>19</v>
      </c>
      <c r="G16" s="435">
        <v>19</v>
      </c>
      <c r="H16" s="435"/>
      <c r="I16" s="435"/>
      <c r="J16" s="435"/>
      <c r="K16" s="435"/>
      <c r="L16" s="435"/>
      <c r="M16" s="435"/>
      <c r="N16" s="435"/>
      <c r="O16" s="435"/>
      <c r="P16" s="435"/>
      <c r="Q16" s="435"/>
      <c r="R16" s="435"/>
      <c r="S16" s="435"/>
      <c r="T16" s="435"/>
      <c r="U16" s="435"/>
      <c r="V16" s="435"/>
      <c r="W16" s="436"/>
      <c r="X16" s="436"/>
      <c r="Y16" s="436"/>
      <c r="Z16" s="436"/>
      <c r="AA16" s="436"/>
      <c r="AB16" s="436"/>
      <c r="AC16" s="436"/>
      <c r="AD16" s="436"/>
      <c r="AE16" s="436"/>
      <c r="AF16" s="436"/>
      <c r="AG16" s="436"/>
      <c r="AH16" s="436"/>
      <c r="AI16" s="436"/>
      <c r="AJ16" s="436"/>
      <c r="AK16" s="436"/>
      <c r="AL16" s="436"/>
      <c r="AM16" s="436"/>
      <c r="AN16" s="436"/>
      <c r="AO16" s="436"/>
      <c r="AP16" s="436"/>
      <c r="AQ16" s="436"/>
      <c r="AR16" s="436"/>
      <c r="AS16" s="436"/>
      <c r="AT16" s="436"/>
      <c r="AU16" s="436"/>
      <c r="AV16" s="436"/>
      <c r="AW16" s="436"/>
      <c r="AX16" s="436"/>
      <c r="AY16" s="436"/>
      <c r="AZ16" s="436"/>
      <c r="BA16" s="436"/>
      <c r="BB16" s="436"/>
      <c r="BC16" s="436"/>
      <c r="BD16" s="436"/>
      <c r="BE16" s="436"/>
      <c r="BF16" s="436"/>
      <c r="BG16" s="436"/>
      <c r="BH16" s="436"/>
      <c r="BI16" s="436"/>
      <c r="BJ16" s="436"/>
      <c r="BK16" s="436"/>
      <c r="BL16" s="436"/>
      <c r="BM16" s="436"/>
      <c r="BN16" s="436"/>
      <c r="BO16" s="436"/>
      <c r="BP16" s="436"/>
      <c r="BQ16" s="436"/>
      <c r="BR16" s="436"/>
      <c r="BS16" s="436"/>
      <c r="BT16" s="436"/>
      <c r="BU16" s="436"/>
      <c r="BV16" s="436"/>
      <c r="BW16" s="436"/>
      <c r="BX16" s="436"/>
      <c r="BY16" s="436"/>
      <c r="BZ16" s="436"/>
      <c r="CA16" s="436"/>
      <c r="CB16" s="436"/>
      <c r="CC16" s="436"/>
      <c r="CD16" s="436"/>
      <c r="CE16" s="437">
        <v>14</v>
      </c>
      <c r="CF16" s="437">
        <v>14</v>
      </c>
      <c r="CG16" s="437">
        <v>14</v>
      </c>
      <c r="CH16" s="437">
        <v>14</v>
      </c>
      <c r="CI16" s="437">
        <v>14</v>
      </c>
      <c r="CJ16" s="437">
        <v>14</v>
      </c>
      <c r="CK16" s="437">
        <v>14</v>
      </c>
      <c r="CL16" s="437">
        <v>14</v>
      </c>
      <c r="CM16" s="437">
        <v>14</v>
      </c>
      <c r="CN16" s="437">
        <v>14</v>
      </c>
      <c r="CO16" s="437">
        <f t="shared" si="0"/>
        <v>95</v>
      </c>
      <c r="CP16" s="438">
        <f ca="1">ROUND(CO16*'1、课程目标与考核方式'!$H$13/100+IF(ISERROR(VLOOKUP(A16,'4、平时成绩'!$A$2:$H$201,8,FALSE)),0,VLOOKUP(A16,'4、平时成绩'!$A$2:$H$201,8,FALSE)),0)</f>
        <v>71</v>
      </c>
    </row>
    <row r="17" s="32" customFormat="1" spans="1:94">
      <c r="A17" s="433" t="s">
        <v>196</v>
      </c>
      <c r="B17" s="434" t="s">
        <v>197</v>
      </c>
      <c r="C17" s="435">
        <v>19</v>
      </c>
      <c r="D17" s="435">
        <v>19</v>
      </c>
      <c r="E17" s="435">
        <v>19</v>
      </c>
      <c r="F17" s="435">
        <v>19</v>
      </c>
      <c r="G17" s="435">
        <v>19</v>
      </c>
      <c r="H17" s="435"/>
      <c r="I17" s="435"/>
      <c r="J17" s="435"/>
      <c r="K17" s="435"/>
      <c r="L17" s="435"/>
      <c r="M17" s="435"/>
      <c r="N17" s="435"/>
      <c r="O17" s="435"/>
      <c r="P17" s="435"/>
      <c r="Q17" s="435"/>
      <c r="R17" s="435"/>
      <c r="S17" s="435"/>
      <c r="T17" s="435"/>
      <c r="U17" s="435"/>
      <c r="V17" s="435"/>
      <c r="W17" s="436"/>
      <c r="X17" s="436"/>
      <c r="Y17" s="436"/>
      <c r="Z17" s="436"/>
      <c r="AA17" s="436"/>
      <c r="AB17" s="436"/>
      <c r="AC17" s="436"/>
      <c r="AD17" s="436"/>
      <c r="AE17" s="436"/>
      <c r="AF17" s="436"/>
      <c r="AG17" s="436"/>
      <c r="AH17" s="436"/>
      <c r="AI17" s="436"/>
      <c r="AJ17" s="436"/>
      <c r="AK17" s="436"/>
      <c r="AL17" s="436"/>
      <c r="AM17" s="436"/>
      <c r="AN17" s="436"/>
      <c r="AO17" s="436"/>
      <c r="AP17" s="436"/>
      <c r="AQ17" s="436"/>
      <c r="AR17" s="436"/>
      <c r="AS17" s="436"/>
      <c r="AT17" s="436"/>
      <c r="AU17" s="436"/>
      <c r="AV17" s="436"/>
      <c r="AW17" s="436"/>
      <c r="AX17" s="436"/>
      <c r="AY17" s="436"/>
      <c r="AZ17" s="436"/>
      <c r="BA17" s="436"/>
      <c r="BB17" s="436"/>
      <c r="BC17" s="436"/>
      <c r="BD17" s="436"/>
      <c r="BE17" s="436"/>
      <c r="BF17" s="436"/>
      <c r="BG17" s="436"/>
      <c r="BH17" s="436"/>
      <c r="BI17" s="436"/>
      <c r="BJ17" s="436"/>
      <c r="BK17" s="436"/>
      <c r="BL17" s="436"/>
      <c r="BM17" s="436"/>
      <c r="BN17" s="436"/>
      <c r="BO17" s="436"/>
      <c r="BP17" s="436"/>
      <c r="BQ17" s="436"/>
      <c r="BR17" s="436"/>
      <c r="BS17" s="436"/>
      <c r="BT17" s="436"/>
      <c r="BU17" s="436"/>
      <c r="BV17" s="436"/>
      <c r="BW17" s="436"/>
      <c r="BX17" s="436"/>
      <c r="BY17" s="436"/>
      <c r="BZ17" s="436"/>
      <c r="CA17" s="436"/>
      <c r="CB17" s="436"/>
      <c r="CC17" s="436"/>
      <c r="CD17" s="436"/>
      <c r="CE17" s="437">
        <v>15</v>
      </c>
      <c r="CF17" s="437">
        <v>15</v>
      </c>
      <c r="CG17" s="437">
        <v>15</v>
      </c>
      <c r="CH17" s="437">
        <v>15</v>
      </c>
      <c r="CI17" s="437">
        <v>15</v>
      </c>
      <c r="CJ17" s="437">
        <v>15</v>
      </c>
      <c r="CK17" s="437">
        <v>15</v>
      </c>
      <c r="CL17" s="437">
        <v>15</v>
      </c>
      <c r="CM17" s="437">
        <v>15</v>
      </c>
      <c r="CN17" s="437">
        <v>15</v>
      </c>
      <c r="CO17" s="437">
        <f t="shared" si="0"/>
        <v>95</v>
      </c>
      <c r="CP17" s="438">
        <f ca="1">ROUND(CO17*'1、课程目标与考核方式'!$H$13/100+IF(ISERROR(VLOOKUP(A17,'4、平时成绩'!$A$2:$H$201,8,FALSE)),0,VLOOKUP(A17,'4、平时成绩'!$A$2:$H$201,8,FALSE)),0)</f>
        <v>66</v>
      </c>
    </row>
    <row r="18" s="32" customFormat="1" spans="1:94">
      <c r="A18" s="433" t="s">
        <v>198</v>
      </c>
      <c r="B18" s="434" t="s">
        <v>199</v>
      </c>
      <c r="C18" s="435">
        <v>19</v>
      </c>
      <c r="D18" s="435">
        <v>19</v>
      </c>
      <c r="E18" s="435">
        <v>19</v>
      </c>
      <c r="F18" s="435">
        <v>19</v>
      </c>
      <c r="G18" s="435">
        <v>19</v>
      </c>
      <c r="H18" s="435"/>
      <c r="I18" s="435"/>
      <c r="J18" s="435"/>
      <c r="K18" s="435"/>
      <c r="L18" s="435"/>
      <c r="M18" s="435"/>
      <c r="N18" s="435"/>
      <c r="O18" s="435"/>
      <c r="P18" s="435"/>
      <c r="Q18" s="435"/>
      <c r="R18" s="435"/>
      <c r="S18" s="435"/>
      <c r="T18" s="435"/>
      <c r="U18" s="435"/>
      <c r="V18" s="435"/>
      <c r="W18" s="436"/>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BZ18" s="436"/>
      <c r="CA18" s="436"/>
      <c r="CB18" s="436"/>
      <c r="CC18" s="436"/>
      <c r="CD18" s="436"/>
      <c r="CE18" s="437">
        <v>16</v>
      </c>
      <c r="CF18" s="437">
        <v>16</v>
      </c>
      <c r="CG18" s="437">
        <v>16</v>
      </c>
      <c r="CH18" s="437">
        <v>16</v>
      </c>
      <c r="CI18" s="437">
        <v>16</v>
      </c>
      <c r="CJ18" s="437">
        <v>16</v>
      </c>
      <c r="CK18" s="437">
        <v>16</v>
      </c>
      <c r="CL18" s="437">
        <v>16</v>
      </c>
      <c r="CM18" s="437">
        <v>16</v>
      </c>
      <c r="CN18" s="437">
        <v>16</v>
      </c>
      <c r="CO18" s="437">
        <f t="shared" si="0"/>
        <v>95</v>
      </c>
      <c r="CP18" s="438">
        <f ca="1">ROUND(CO18*'1、课程目标与考核方式'!$H$13/100+IF(ISERROR(VLOOKUP(A18,'4、平时成绩'!$A$2:$H$201,8,FALSE)),0,VLOOKUP(A18,'4、平时成绩'!$A$2:$H$201,8,FALSE)),0)</f>
        <v>69</v>
      </c>
    </row>
    <row r="19" s="32" customFormat="1" spans="1:94">
      <c r="A19" s="433" t="s">
        <v>200</v>
      </c>
      <c r="B19" s="434" t="s">
        <v>201</v>
      </c>
      <c r="C19" s="435">
        <v>19</v>
      </c>
      <c r="D19" s="435">
        <v>19</v>
      </c>
      <c r="E19" s="435">
        <v>19</v>
      </c>
      <c r="F19" s="435">
        <v>19</v>
      </c>
      <c r="G19" s="435">
        <v>19</v>
      </c>
      <c r="H19" s="435"/>
      <c r="I19" s="435"/>
      <c r="J19" s="435"/>
      <c r="K19" s="435"/>
      <c r="L19" s="435"/>
      <c r="M19" s="435"/>
      <c r="N19" s="435"/>
      <c r="O19" s="435"/>
      <c r="P19" s="435"/>
      <c r="Q19" s="435"/>
      <c r="R19" s="435"/>
      <c r="S19" s="435"/>
      <c r="T19" s="435"/>
      <c r="U19" s="435"/>
      <c r="V19" s="435"/>
      <c r="W19" s="436"/>
      <c r="X19" s="436"/>
      <c r="Y19" s="436"/>
      <c r="Z19" s="436"/>
      <c r="AA19" s="436"/>
      <c r="AB19" s="436"/>
      <c r="AC19" s="436"/>
      <c r="AD19" s="436"/>
      <c r="AE19" s="436"/>
      <c r="AF19" s="436"/>
      <c r="AG19" s="436"/>
      <c r="AH19" s="436"/>
      <c r="AI19" s="436"/>
      <c r="AJ19" s="436"/>
      <c r="AK19" s="436"/>
      <c r="AL19" s="436"/>
      <c r="AM19" s="436"/>
      <c r="AN19" s="436"/>
      <c r="AO19" s="436"/>
      <c r="AP19" s="436"/>
      <c r="AQ19" s="436"/>
      <c r="AR19" s="436"/>
      <c r="AS19" s="436"/>
      <c r="AT19" s="436"/>
      <c r="AU19" s="436"/>
      <c r="AV19" s="436"/>
      <c r="AW19" s="436"/>
      <c r="AX19" s="436"/>
      <c r="AY19" s="436"/>
      <c r="AZ19" s="436"/>
      <c r="BA19" s="436"/>
      <c r="BB19" s="436"/>
      <c r="BC19" s="436"/>
      <c r="BD19" s="436"/>
      <c r="BE19" s="436"/>
      <c r="BF19" s="436"/>
      <c r="BG19" s="436"/>
      <c r="BH19" s="436"/>
      <c r="BI19" s="436"/>
      <c r="BJ19" s="436"/>
      <c r="BK19" s="436"/>
      <c r="BL19" s="436"/>
      <c r="BM19" s="436"/>
      <c r="BN19" s="436"/>
      <c r="BO19" s="436"/>
      <c r="BP19" s="436"/>
      <c r="BQ19" s="436"/>
      <c r="BR19" s="436"/>
      <c r="BS19" s="436"/>
      <c r="BT19" s="436"/>
      <c r="BU19" s="436"/>
      <c r="BV19" s="436"/>
      <c r="BW19" s="436"/>
      <c r="BX19" s="436"/>
      <c r="BY19" s="436"/>
      <c r="BZ19" s="436"/>
      <c r="CA19" s="436"/>
      <c r="CB19" s="436"/>
      <c r="CC19" s="436"/>
      <c r="CD19" s="436"/>
      <c r="CE19" s="437">
        <v>17</v>
      </c>
      <c r="CF19" s="437">
        <v>17</v>
      </c>
      <c r="CG19" s="437">
        <v>17</v>
      </c>
      <c r="CH19" s="437">
        <v>17</v>
      </c>
      <c r="CI19" s="437">
        <v>17</v>
      </c>
      <c r="CJ19" s="437">
        <v>17</v>
      </c>
      <c r="CK19" s="437">
        <v>17</v>
      </c>
      <c r="CL19" s="437">
        <v>17</v>
      </c>
      <c r="CM19" s="437">
        <v>17</v>
      </c>
      <c r="CN19" s="437">
        <v>17</v>
      </c>
      <c r="CO19" s="437">
        <f t="shared" si="0"/>
        <v>95</v>
      </c>
      <c r="CP19" s="438">
        <f ca="1">ROUND(CO19*'1、课程目标与考核方式'!$H$13/100+IF(ISERROR(VLOOKUP(A19,'4、平时成绩'!$A$2:$H$201,8,FALSE)),0,VLOOKUP(A19,'4、平时成绩'!$A$2:$H$201,8,FALSE)),0)</f>
        <v>73</v>
      </c>
    </row>
    <row r="20" s="32" customFormat="1" spans="1:94">
      <c r="A20" s="433" t="s">
        <v>202</v>
      </c>
      <c r="B20" s="434" t="s">
        <v>203</v>
      </c>
      <c r="C20" s="435">
        <v>19</v>
      </c>
      <c r="D20" s="435">
        <v>19</v>
      </c>
      <c r="E20" s="435">
        <v>19</v>
      </c>
      <c r="F20" s="435">
        <v>19</v>
      </c>
      <c r="G20" s="435">
        <v>19</v>
      </c>
      <c r="H20" s="435"/>
      <c r="I20" s="435"/>
      <c r="J20" s="435"/>
      <c r="K20" s="435"/>
      <c r="L20" s="435"/>
      <c r="M20" s="435"/>
      <c r="N20" s="435"/>
      <c r="O20" s="435"/>
      <c r="P20" s="435"/>
      <c r="Q20" s="435"/>
      <c r="R20" s="435"/>
      <c r="S20" s="435"/>
      <c r="T20" s="435"/>
      <c r="U20" s="435"/>
      <c r="V20" s="435"/>
      <c r="W20" s="436"/>
      <c r="X20" s="436"/>
      <c r="Y20" s="436"/>
      <c r="Z20" s="436"/>
      <c r="AA20" s="436"/>
      <c r="AB20" s="436"/>
      <c r="AC20" s="436"/>
      <c r="AD20" s="436"/>
      <c r="AE20" s="436"/>
      <c r="AF20" s="436"/>
      <c r="AG20" s="436"/>
      <c r="AH20" s="436"/>
      <c r="AI20" s="436"/>
      <c r="AJ20" s="436"/>
      <c r="AK20" s="436"/>
      <c r="AL20" s="436"/>
      <c r="AM20" s="436"/>
      <c r="AN20" s="436"/>
      <c r="AO20" s="436"/>
      <c r="AP20" s="436"/>
      <c r="AQ20" s="436"/>
      <c r="AR20" s="436"/>
      <c r="AS20" s="436"/>
      <c r="AT20" s="436"/>
      <c r="AU20" s="436"/>
      <c r="AV20" s="436"/>
      <c r="AW20" s="436"/>
      <c r="AX20" s="436"/>
      <c r="AY20" s="436"/>
      <c r="AZ20" s="436"/>
      <c r="BA20" s="436"/>
      <c r="BB20" s="436"/>
      <c r="BC20" s="436"/>
      <c r="BD20" s="436"/>
      <c r="BE20" s="436"/>
      <c r="BF20" s="436"/>
      <c r="BG20" s="436"/>
      <c r="BH20" s="436"/>
      <c r="BI20" s="436"/>
      <c r="BJ20" s="436"/>
      <c r="BK20" s="436"/>
      <c r="BL20" s="436"/>
      <c r="BM20" s="436"/>
      <c r="BN20" s="436"/>
      <c r="BO20" s="436"/>
      <c r="BP20" s="436"/>
      <c r="BQ20" s="436"/>
      <c r="BR20" s="436"/>
      <c r="BS20" s="436"/>
      <c r="BT20" s="436"/>
      <c r="BU20" s="436"/>
      <c r="BV20" s="436"/>
      <c r="BW20" s="436"/>
      <c r="BX20" s="436"/>
      <c r="BY20" s="436"/>
      <c r="BZ20" s="436"/>
      <c r="CA20" s="436"/>
      <c r="CB20" s="436"/>
      <c r="CC20" s="436"/>
      <c r="CD20" s="436"/>
      <c r="CE20" s="437">
        <v>18</v>
      </c>
      <c r="CF20" s="437">
        <v>18</v>
      </c>
      <c r="CG20" s="437">
        <v>18</v>
      </c>
      <c r="CH20" s="437">
        <v>18</v>
      </c>
      <c r="CI20" s="437">
        <v>18</v>
      </c>
      <c r="CJ20" s="437">
        <v>18</v>
      </c>
      <c r="CK20" s="437">
        <v>18</v>
      </c>
      <c r="CL20" s="437">
        <v>18</v>
      </c>
      <c r="CM20" s="437">
        <v>18</v>
      </c>
      <c r="CN20" s="437">
        <v>18</v>
      </c>
      <c r="CO20" s="437">
        <f t="shared" si="0"/>
        <v>95</v>
      </c>
      <c r="CP20" s="438">
        <f ca="1">ROUND(CO20*'1、课程目标与考核方式'!$H$13/100+IF(ISERROR(VLOOKUP(A20,'4、平时成绩'!$A$2:$H$201,8,FALSE)),0,VLOOKUP(A20,'4、平时成绩'!$A$2:$H$201,8,FALSE)),0)</f>
        <v>69</v>
      </c>
    </row>
    <row r="21" s="32" customFormat="1" spans="1:94">
      <c r="A21" s="433" t="s">
        <v>204</v>
      </c>
      <c r="B21" s="434" t="s">
        <v>205</v>
      </c>
      <c r="C21" s="435">
        <v>19</v>
      </c>
      <c r="D21" s="435">
        <v>19</v>
      </c>
      <c r="E21" s="435">
        <v>19</v>
      </c>
      <c r="F21" s="435">
        <v>19</v>
      </c>
      <c r="G21" s="435">
        <v>19</v>
      </c>
      <c r="H21" s="435"/>
      <c r="I21" s="435"/>
      <c r="J21" s="435"/>
      <c r="K21" s="435"/>
      <c r="L21" s="435"/>
      <c r="M21" s="435"/>
      <c r="N21" s="435"/>
      <c r="O21" s="435"/>
      <c r="P21" s="435"/>
      <c r="Q21" s="435"/>
      <c r="R21" s="435"/>
      <c r="S21" s="435"/>
      <c r="T21" s="435"/>
      <c r="U21" s="435"/>
      <c r="V21" s="435"/>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BZ21" s="436"/>
      <c r="CA21" s="436"/>
      <c r="CB21" s="436"/>
      <c r="CC21" s="436"/>
      <c r="CD21" s="436"/>
      <c r="CE21" s="437">
        <v>19</v>
      </c>
      <c r="CF21" s="437">
        <v>19</v>
      </c>
      <c r="CG21" s="437">
        <v>19</v>
      </c>
      <c r="CH21" s="437">
        <v>19</v>
      </c>
      <c r="CI21" s="437">
        <v>19</v>
      </c>
      <c r="CJ21" s="437">
        <v>19</v>
      </c>
      <c r="CK21" s="437">
        <v>19</v>
      </c>
      <c r="CL21" s="437">
        <v>19</v>
      </c>
      <c r="CM21" s="437">
        <v>19</v>
      </c>
      <c r="CN21" s="437">
        <v>19</v>
      </c>
      <c r="CO21" s="437">
        <f t="shared" si="0"/>
        <v>95</v>
      </c>
      <c r="CP21" s="438">
        <f ca="1">ROUND(CO21*'1、课程目标与考核方式'!$H$13/100+IF(ISERROR(VLOOKUP(A21,'4、平时成绩'!$A$2:$H$201,8,FALSE)),0,VLOOKUP(A21,'4、平时成绩'!$A$2:$H$201,8,FALSE)),0)</f>
        <v>65</v>
      </c>
    </row>
    <row r="22" s="32" customFormat="1" spans="1:94">
      <c r="A22" s="433" t="s">
        <v>206</v>
      </c>
      <c r="B22" s="434" t="s">
        <v>207</v>
      </c>
      <c r="C22" s="435">
        <v>19</v>
      </c>
      <c r="D22" s="435">
        <v>19</v>
      </c>
      <c r="E22" s="435">
        <v>19</v>
      </c>
      <c r="F22" s="435">
        <v>19</v>
      </c>
      <c r="G22" s="435">
        <v>19</v>
      </c>
      <c r="H22" s="435"/>
      <c r="I22" s="435"/>
      <c r="J22" s="435"/>
      <c r="K22" s="435"/>
      <c r="L22" s="435"/>
      <c r="M22" s="435"/>
      <c r="N22" s="435"/>
      <c r="O22" s="435"/>
      <c r="P22" s="435"/>
      <c r="Q22" s="435"/>
      <c r="R22" s="435"/>
      <c r="S22" s="435"/>
      <c r="T22" s="435"/>
      <c r="U22" s="435"/>
      <c r="V22" s="435"/>
      <c r="W22" s="436"/>
      <c r="X22" s="436"/>
      <c r="Y22" s="436"/>
      <c r="Z22" s="436"/>
      <c r="AA22" s="436"/>
      <c r="AB22" s="436"/>
      <c r="AC22" s="436"/>
      <c r="AD22" s="436"/>
      <c r="AE22" s="436"/>
      <c r="AF22" s="436"/>
      <c r="AG22" s="436"/>
      <c r="AH22" s="436"/>
      <c r="AI22" s="436"/>
      <c r="AJ22" s="436"/>
      <c r="AK22" s="436"/>
      <c r="AL22" s="436"/>
      <c r="AM22" s="436"/>
      <c r="AN22" s="436"/>
      <c r="AO22" s="436"/>
      <c r="AP22" s="436"/>
      <c r="AQ22" s="436"/>
      <c r="AR22" s="436"/>
      <c r="AS22" s="436"/>
      <c r="AT22" s="436"/>
      <c r="AU22" s="436"/>
      <c r="AV22" s="436"/>
      <c r="AW22" s="436"/>
      <c r="AX22" s="436"/>
      <c r="AY22" s="436"/>
      <c r="AZ22" s="436"/>
      <c r="BA22" s="436"/>
      <c r="BB22" s="436"/>
      <c r="BC22" s="436"/>
      <c r="BD22" s="436"/>
      <c r="BE22" s="436"/>
      <c r="BF22" s="436"/>
      <c r="BG22" s="436"/>
      <c r="BH22" s="436"/>
      <c r="BI22" s="436"/>
      <c r="BJ22" s="436"/>
      <c r="BK22" s="436"/>
      <c r="BL22" s="436"/>
      <c r="BM22" s="436"/>
      <c r="BN22" s="436"/>
      <c r="BO22" s="436"/>
      <c r="BP22" s="436"/>
      <c r="BQ22" s="436"/>
      <c r="BR22" s="436"/>
      <c r="BS22" s="436"/>
      <c r="BT22" s="436"/>
      <c r="BU22" s="436"/>
      <c r="BV22" s="436"/>
      <c r="BW22" s="436"/>
      <c r="BX22" s="436"/>
      <c r="BY22" s="436"/>
      <c r="BZ22" s="436"/>
      <c r="CA22" s="436"/>
      <c r="CB22" s="436"/>
      <c r="CC22" s="436"/>
      <c r="CD22" s="436"/>
      <c r="CE22" s="437">
        <v>20</v>
      </c>
      <c r="CF22" s="437">
        <v>20</v>
      </c>
      <c r="CG22" s="437">
        <v>20</v>
      </c>
      <c r="CH22" s="437">
        <v>20</v>
      </c>
      <c r="CI22" s="437">
        <v>20</v>
      </c>
      <c r="CJ22" s="437">
        <v>20</v>
      </c>
      <c r="CK22" s="437">
        <v>20</v>
      </c>
      <c r="CL22" s="437">
        <v>20</v>
      </c>
      <c r="CM22" s="437">
        <v>20</v>
      </c>
      <c r="CN22" s="437">
        <v>20</v>
      </c>
      <c r="CO22" s="437">
        <f t="shared" si="0"/>
        <v>95</v>
      </c>
      <c r="CP22" s="438">
        <f ca="1">ROUND(CO22*'1、课程目标与考核方式'!$H$13/100+IF(ISERROR(VLOOKUP(A22,'4、平时成绩'!$A$2:$H$201,8,FALSE)),0,VLOOKUP(A22,'4、平时成绩'!$A$2:$H$201,8,FALSE)),0)</f>
        <v>72</v>
      </c>
    </row>
    <row r="23" s="32" customFormat="1" spans="1:94">
      <c r="A23" s="433" t="s">
        <v>208</v>
      </c>
      <c r="B23" s="434" t="s">
        <v>209</v>
      </c>
      <c r="C23" s="435">
        <v>19</v>
      </c>
      <c r="D23" s="435">
        <v>19</v>
      </c>
      <c r="E23" s="435">
        <v>19</v>
      </c>
      <c r="F23" s="435">
        <v>19</v>
      </c>
      <c r="G23" s="435">
        <v>19</v>
      </c>
      <c r="H23" s="435"/>
      <c r="I23" s="435"/>
      <c r="J23" s="435"/>
      <c r="K23" s="435"/>
      <c r="L23" s="435"/>
      <c r="M23" s="435"/>
      <c r="N23" s="435"/>
      <c r="O23" s="435"/>
      <c r="P23" s="435"/>
      <c r="Q23" s="435"/>
      <c r="R23" s="435"/>
      <c r="S23" s="435"/>
      <c r="T23" s="435"/>
      <c r="U23" s="435"/>
      <c r="V23" s="435"/>
      <c r="W23" s="436"/>
      <c r="X23" s="436"/>
      <c r="Y23" s="436"/>
      <c r="Z23" s="436"/>
      <c r="AA23" s="436"/>
      <c r="AB23" s="436"/>
      <c r="AC23" s="436"/>
      <c r="AD23" s="436"/>
      <c r="AE23" s="436"/>
      <c r="AF23" s="436"/>
      <c r="AG23" s="436"/>
      <c r="AH23" s="436"/>
      <c r="AI23" s="436"/>
      <c r="AJ23" s="436"/>
      <c r="AK23" s="436"/>
      <c r="AL23" s="436"/>
      <c r="AM23" s="436"/>
      <c r="AN23" s="436"/>
      <c r="AO23" s="436"/>
      <c r="AP23" s="436"/>
      <c r="AQ23" s="436"/>
      <c r="AR23" s="436"/>
      <c r="AS23" s="436"/>
      <c r="AT23" s="436"/>
      <c r="AU23" s="436"/>
      <c r="AV23" s="436"/>
      <c r="AW23" s="436"/>
      <c r="AX23" s="436"/>
      <c r="AY23" s="436"/>
      <c r="AZ23" s="436"/>
      <c r="BA23" s="436"/>
      <c r="BB23" s="436"/>
      <c r="BC23" s="436"/>
      <c r="BD23" s="436"/>
      <c r="BE23" s="436"/>
      <c r="BF23" s="436"/>
      <c r="BG23" s="436"/>
      <c r="BH23" s="436"/>
      <c r="BI23" s="436"/>
      <c r="BJ23" s="436"/>
      <c r="BK23" s="436"/>
      <c r="BL23" s="436"/>
      <c r="BM23" s="436"/>
      <c r="BN23" s="436"/>
      <c r="BO23" s="436"/>
      <c r="BP23" s="436"/>
      <c r="BQ23" s="436"/>
      <c r="BR23" s="436"/>
      <c r="BS23" s="436"/>
      <c r="BT23" s="436"/>
      <c r="BU23" s="436"/>
      <c r="BV23" s="436"/>
      <c r="BW23" s="436"/>
      <c r="BX23" s="436"/>
      <c r="BY23" s="436"/>
      <c r="BZ23" s="436"/>
      <c r="CA23" s="436"/>
      <c r="CB23" s="436"/>
      <c r="CC23" s="436"/>
      <c r="CD23" s="436"/>
      <c r="CE23" s="437">
        <v>21</v>
      </c>
      <c r="CF23" s="437">
        <v>21</v>
      </c>
      <c r="CG23" s="437">
        <v>21</v>
      </c>
      <c r="CH23" s="437">
        <v>21</v>
      </c>
      <c r="CI23" s="437">
        <v>21</v>
      </c>
      <c r="CJ23" s="437">
        <v>21</v>
      </c>
      <c r="CK23" s="437">
        <v>21</v>
      </c>
      <c r="CL23" s="437">
        <v>21</v>
      </c>
      <c r="CM23" s="437">
        <v>21</v>
      </c>
      <c r="CN23" s="437">
        <v>21</v>
      </c>
      <c r="CO23" s="437">
        <f t="shared" si="0"/>
        <v>95</v>
      </c>
      <c r="CP23" s="438">
        <f ca="1">ROUND(CO23*'1、课程目标与考核方式'!$H$13/100+IF(ISERROR(VLOOKUP(A23,'4、平时成绩'!$A$2:$H$201,8,FALSE)),0,VLOOKUP(A23,'4、平时成绩'!$A$2:$H$201,8,FALSE)),0)</f>
        <v>65</v>
      </c>
    </row>
    <row r="24" s="32" customFormat="1" spans="1:94">
      <c r="A24" s="433" t="s">
        <v>210</v>
      </c>
      <c r="B24" s="434" t="s">
        <v>211</v>
      </c>
      <c r="C24" s="435">
        <v>19</v>
      </c>
      <c r="D24" s="435">
        <v>19</v>
      </c>
      <c r="E24" s="435">
        <v>19</v>
      </c>
      <c r="F24" s="435">
        <v>19</v>
      </c>
      <c r="G24" s="435">
        <v>19</v>
      </c>
      <c r="H24" s="435"/>
      <c r="I24" s="435"/>
      <c r="J24" s="435"/>
      <c r="K24" s="435"/>
      <c r="L24" s="435"/>
      <c r="M24" s="435"/>
      <c r="N24" s="435"/>
      <c r="O24" s="435"/>
      <c r="P24" s="435"/>
      <c r="Q24" s="435"/>
      <c r="R24" s="435"/>
      <c r="S24" s="435"/>
      <c r="T24" s="435"/>
      <c r="U24" s="435"/>
      <c r="V24" s="435"/>
      <c r="W24" s="436"/>
      <c r="X24" s="436"/>
      <c r="Y24" s="436"/>
      <c r="Z24" s="436"/>
      <c r="AA24" s="436"/>
      <c r="AB24" s="436"/>
      <c r="AC24" s="436"/>
      <c r="AD24" s="436"/>
      <c r="AE24" s="436"/>
      <c r="AF24" s="436"/>
      <c r="AG24" s="436"/>
      <c r="AH24" s="436"/>
      <c r="AI24" s="436"/>
      <c r="AJ24" s="436"/>
      <c r="AK24" s="436"/>
      <c r="AL24" s="436"/>
      <c r="AM24" s="436"/>
      <c r="AN24" s="436"/>
      <c r="AO24" s="436"/>
      <c r="AP24" s="436"/>
      <c r="AQ24" s="436"/>
      <c r="AR24" s="436"/>
      <c r="AS24" s="436"/>
      <c r="AT24" s="436"/>
      <c r="AU24" s="436"/>
      <c r="AV24" s="436"/>
      <c r="AW24" s="436"/>
      <c r="AX24" s="436"/>
      <c r="AY24" s="436"/>
      <c r="AZ24" s="436"/>
      <c r="BA24" s="436"/>
      <c r="BB24" s="436"/>
      <c r="BC24" s="436"/>
      <c r="BD24" s="436"/>
      <c r="BE24" s="436"/>
      <c r="BF24" s="436"/>
      <c r="BG24" s="436"/>
      <c r="BH24" s="436"/>
      <c r="BI24" s="436"/>
      <c r="BJ24" s="436"/>
      <c r="BK24" s="436"/>
      <c r="BL24" s="436"/>
      <c r="BM24" s="436"/>
      <c r="BN24" s="436"/>
      <c r="BO24" s="436"/>
      <c r="BP24" s="436"/>
      <c r="BQ24" s="436"/>
      <c r="BR24" s="436"/>
      <c r="BS24" s="436"/>
      <c r="BT24" s="436"/>
      <c r="BU24" s="436"/>
      <c r="BV24" s="436"/>
      <c r="BW24" s="436"/>
      <c r="BX24" s="436"/>
      <c r="BY24" s="436"/>
      <c r="BZ24" s="436"/>
      <c r="CA24" s="436"/>
      <c r="CB24" s="436"/>
      <c r="CC24" s="436"/>
      <c r="CD24" s="436"/>
      <c r="CE24" s="437">
        <v>22</v>
      </c>
      <c r="CF24" s="437">
        <v>22</v>
      </c>
      <c r="CG24" s="437">
        <v>22</v>
      </c>
      <c r="CH24" s="437">
        <v>22</v>
      </c>
      <c r="CI24" s="437">
        <v>22</v>
      </c>
      <c r="CJ24" s="437">
        <v>22</v>
      </c>
      <c r="CK24" s="437">
        <v>22</v>
      </c>
      <c r="CL24" s="437">
        <v>22</v>
      </c>
      <c r="CM24" s="437">
        <v>22</v>
      </c>
      <c r="CN24" s="437">
        <v>22</v>
      </c>
      <c r="CO24" s="437">
        <f t="shared" si="0"/>
        <v>95</v>
      </c>
      <c r="CP24" s="438">
        <f ca="1">ROUND(CO24*'1、课程目标与考核方式'!$H$13/100+IF(ISERROR(VLOOKUP(A24,'4、平时成绩'!$A$2:$H$201,8,FALSE)),0,VLOOKUP(A24,'4、平时成绩'!$A$2:$H$201,8,FALSE)),0)</f>
        <v>68</v>
      </c>
    </row>
    <row r="25" s="32" customFormat="1" spans="1:94">
      <c r="A25" s="433" t="s">
        <v>212</v>
      </c>
      <c r="B25" s="434" t="s">
        <v>213</v>
      </c>
      <c r="C25" s="435">
        <v>19</v>
      </c>
      <c r="D25" s="435">
        <v>19</v>
      </c>
      <c r="E25" s="435">
        <v>19</v>
      </c>
      <c r="F25" s="435">
        <v>19</v>
      </c>
      <c r="G25" s="435">
        <v>19</v>
      </c>
      <c r="H25" s="435"/>
      <c r="I25" s="435"/>
      <c r="J25" s="435"/>
      <c r="K25" s="435"/>
      <c r="L25" s="435"/>
      <c r="M25" s="435"/>
      <c r="N25" s="435"/>
      <c r="O25" s="435"/>
      <c r="P25" s="435"/>
      <c r="Q25" s="435"/>
      <c r="R25" s="435"/>
      <c r="S25" s="435"/>
      <c r="T25" s="435"/>
      <c r="U25" s="435"/>
      <c r="V25" s="435"/>
      <c r="W25" s="436"/>
      <c r="X25" s="436"/>
      <c r="Y25" s="436"/>
      <c r="Z25" s="436"/>
      <c r="AA25" s="436"/>
      <c r="AB25" s="436"/>
      <c r="AC25" s="436"/>
      <c r="AD25" s="436"/>
      <c r="AE25" s="436"/>
      <c r="AF25" s="436"/>
      <c r="AG25" s="436"/>
      <c r="AH25" s="436"/>
      <c r="AI25" s="436"/>
      <c r="AJ25" s="436"/>
      <c r="AK25" s="436"/>
      <c r="AL25" s="436"/>
      <c r="AM25" s="436"/>
      <c r="AN25" s="436"/>
      <c r="AO25" s="436"/>
      <c r="AP25" s="436"/>
      <c r="AQ25" s="436"/>
      <c r="AR25" s="436"/>
      <c r="AS25" s="436"/>
      <c r="AT25" s="436"/>
      <c r="AU25" s="436"/>
      <c r="AV25" s="436"/>
      <c r="AW25" s="436"/>
      <c r="AX25" s="436"/>
      <c r="AY25" s="436"/>
      <c r="AZ25" s="436"/>
      <c r="BA25" s="436"/>
      <c r="BB25" s="436"/>
      <c r="BC25" s="436"/>
      <c r="BD25" s="436"/>
      <c r="BE25" s="436"/>
      <c r="BF25" s="436"/>
      <c r="BG25" s="436"/>
      <c r="BH25" s="436"/>
      <c r="BI25" s="436"/>
      <c r="BJ25" s="436"/>
      <c r="BK25" s="436"/>
      <c r="BL25" s="436"/>
      <c r="BM25" s="436"/>
      <c r="BN25" s="436"/>
      <c r="BO25" s="436"/>
      <c r="BP25" s="436"/>
      <c r="BQ25" s="436"/>
      <c r="BR25" s="436"/>
      <c r="BS25" s="436"/>
      <c r="BT25" s="436"/>
      <c r="BU25" s="436"/>
      <c r="BV25" s="436"/>
      <c r="BW25" s="436"/>
      <c r="BX25" s="436"/>
      <c r="BY25" s="436"/>
      <c r="BZ25" s="436"/>
      <c r="CA25" s="436"/>
      <c r="CB25" s="436"/>
      <c r="CC25" s="436"/>
      <c r="CD25" s="436"/>
      <c r="CE25" s="437">
        <v>23</v>
      </c>
      <c r="CF25" s="437">
        <v>23</v>
      </c>
      <c r="CG25" s="437">
        <v>23</v>
      </c>
      <c r="CH25" s="437">
        <v>23</v>
      </c>
      <c r="CI25" s="437">
        <v>23</v>
      </c>
      <c r="CJ25" s="437">
        <v>23</v>
      </c>
      <c r="CK25" s="437">
        <v>23</v>
      </c>
      <c r="CL25" s="437">
        <v>23</v>
      </c>
      <c r="CM25" s="437">
        <v>23</v>
      </c>
      <c r="CN25" s="437">
        <v>23</v>
      </c>
      <c r="CO25" s="437">
        <f t="shared" si="0"/>
        <v>95</v>
      </c>
      <c r="CP25" s="438">
        <f ca="1">ROUND(CO25*'1、课程目标与考核方式'!$H$13/100+IF(ISERROR(VLOOKUP(A25,'4、平时成绩'!$A$2:$H$201,8,FALSE)),0,VLOOKUP(A25,'4、平时成绩'!$A$2:$H$201,8,FALSE)),0)</f>
        <v>71</v>
      </c>
    </row>
    <row r="26" s="32" customFormat="1" spans="1:94">
      <c r="A26" s="433" t="s">
        <v>214</v>
      </c>
      <c r="B26" s="434" t="s">
        <v>215</v>
      </c>
      <c r="C26" s="435">
        <v>19</v>
      </c>
      <c r="D26" s="435">
        <v>19</v>
      </c>
      <c r="E26" s="435">
        <v>19</v>
      </c>
      <c r="F26" s="435">
        <v>19</v>
      </c>
      <c r="G26" s="435">
        <v>19</v>
      </c>
      <c r="H26" s="435"/>
      <c r="I26" s="435"/>
      <c r="J26" s="435"/>
      <c r="K26" s="435"/>
      <c r="L26" s="435"/>
      <c r="M26" s="435"/>
      <c r="N26" s="435"/>
      <c r="O26" s="435"/>
      <c r="P26" s="435"/>
      <c r="Q26" s="435"/>
      <c r="R26" s="435"/>
      <c r="S26" s="435"/>
      <c r="T26" s="435"/>
      <c r="U26" s="435"/>
      <c r="V26" s="435"/>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6"/>
      <c r="AY26" s="436"/>
      <c r="AZ26" s="436"/>
      <c r="BA26" s="436"/>
      <c r="BB26" s="436"/>
      <c r="BC26" s="436"/>
      <c r="BD26" s="436"/>
      <c r="BE26" s="436"/>
      <c r="BF26" s="436"/>
      <c r="BG26" s="436"/>
      <c r="BH26" s="436"/>
      <c r="BI26" s="436"/>
      <c r="BJ26" s="436"/>
      <c r="BK26" s="436"/>
      <c r="BL26" s="436"/>
      <c r="BM26" s="436"/>
      <c r="BN26" s="436"/>
      <c r="BO26" s="436"/>
      <c r="BP26" s="436"/>
      <c r="BQ26" s="436"/>
      <c r="BR26" s="436"/>
      <c r="BS26" s="436"/>
      <c r="BT26" s="436"/>
      <c r="BU26" s="436"/>
      <c r="BV26" s="436"/>
      <c r="BW26" s="436"/>
      <c r="BX26" s="436"/>
      <c r="BY26" s="436"/>
      <c r="BZ26" s="436"/>
      <c r="CA26" s="436"/>
      <c r="CB26" s="436"/>
      <c r="CC26" s="436"/>
      <c r="CD26" s="436"/>
      <c r="CE26" s="437">
        <v>24</v>
      </c>
      <c r="CF26" s="437">
        <v>24</v>
      </c>
      <c r="CG26" s="437">
        <v>24</v>
      </c>
      <c r="CH26" s="437">
        <v>24</v>
      </c>
      <c r="CI26" s="437">
        <v>24</v>
      </c>
      <c r="CJ26" s="437">
        <v>24</v>
      </c>
      <c r="CK26" s="437">
        <v>24</v>
      </c>
      <c r="CL26" s="437">
        <v>24</v>
      </c>
      <c r="CM26" s="437">
        <v>24</v>
      </c>
      <c r="CN26" s="437">
        <v>24</v>
      </c>
      <c r="CO26" s="437">
        <f t="shared" si="0"/>
        <v>95</v>
      </c>
      <c r="CP26" s="438">
        <f ca="1">ROUND(CO26*'1、课程目标与考核方式'!$H$13/100+IF(ISERROR(VLOOKUP(A26,'4、平时成绩'!$A$2:$H$201,8,FALSE)),0,VLOOKUP(A26,'4、平时成绩'!$A$2:$H$201,8,FALSE)),0)</f>
        <v>68</v>
      </c>
    </row>
    <row r="27" s="32" customFormat="1" spans="1:94">
      <c r="A27" s="433" t="s">
        <v>216</v>
      </c>
      <c r="B27" s="434" t="s">
        <v>217</v>
      </c>
      <c r="C27" s="435">
        <v>19</v>
      </c>
      <c r="D27" s="435">
        <v>19</v>
      </c>
      <c r="E27" s="435">
        <v>19</v>
      </c>
      <c r="F27" s="435">
        <v>19</v>
      </c>
      <c r="G27" s="435">
        <v>19</v>
      </c>
      <c r="H27" s="435"/>
      <c r="I27" s="435"/>
      <c r="J27" s="435"/>
      <c r="K27" s="435"/>
      <c r="L27" s="435"/>
      <c r="M27" s="435"/>
      <c r="N27" s="435"/>
      <c r="O27" s="435"/>
      <c r="P27" s="435"/>
      <c r="Q27" s="435"/>
      <c r="R27" s="435"/>
      <c r="S27" s="435"/>
      <c r="T27" s="435"/>
      <c r="U27" s="435"/>
      <c r="V27" s="435"/>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c r="BB27" s="436"/>
      <c r="BC27" s="436"/>
      <c r="BD27" s="436"/>
      <c r="BE27" s="436"/>
      <c r="BF27" s="436"/>
      <c r="BG27" s="436"/>
      <c r="BH27" s="436"/>
      <c r="BI27" s="436"/>
      <c r="BJ27" s="436"/>
      <c r="BK27" s="436"/>
      <c r="BL27" s="436"/>
      <c r="BM27" s="436"/>
      <c r="BN27" s="436"/>
      <c r="BO27" s="436"/>
      <c r="BP27" s="436"/>
      <c r="BQ27" s="436"/>
      <c r="BR27" s="436"/>
      <c r="BS27" s="436"/>
      <c r="BT27" s="436"/>
      <c r="BU27" s="436"/>
      <c r="BV27" s="436"/>
      <c r="BW27" s="436"/>
      <c r="BX27" s="436"/>
      <c r="BY27" s="436"/>
      <c r="BZ27" s="436"/>
      <c r="CA27" s="436"/>
      <c r="CB27" s="436"/>
      <c r="CC27" s="436"/>
      <c r="CD27" s="436"/>
      <c r="CE27" s="437">
        <v>25</v>
      </c>
      <c r="CF27" s="437">
        <v>25</v>
      </c>
      <c r="CG27" s="437">
        <v>25</v>
      </c>
      <c r="CH27" s="437">
        <v>25</v>
      </c>
      <c r="CI27" s="437">
        <v>25</v>
      </c>
      <c r="CJ27" s="437">
        <v>25</v>
      </c>
      <c r="CK27" s="437">
        <v>25</v>
      </c>
      <c r="CL27" s="437">
        <v>25</v>
      </c>
      <c r="CM27" s="437">
        <v>25</v>
      </c>
      <c r="CN27" s="437">
        <v>25</v>
      </c>
      <c r="CO27" s="437">
        <f t="shared" si="0"/>
        <v>95</v>
      </c>
      <c r="CP27" s="438">
        <f ca="1">ROUND(CO27*'1、课程目标与考核方式'!$H$13/100+IF(ISERROR(VLOOKUP(A27,'4、平时成绩'!$A$2:$H$201,8,FALSE)),0,VLOOKUP(A27,'4、平时成绩'!$A$2:$H$201,8,FALSE)),0)</f>
        <v>68</v>
      </c>
    </row>
    <row r="28" s="32" customFormat="1" spans="1:94">
      <c r="A28" s="433" t="s">
        <v>218</v>
      </c>
      <c r="B28" s="434" t="s">
        <v>219</v>
      </c>
      <c r="C28" s="435">
        <v>19</v>
      </c>
      <c r="D28" s="435">
        <v>19</v>
      </c>
      <c r="E28" s="435">
        <v>19</v>
      </c>
      <c r="F28" s="435">
        <v>19</v>
      </c>
      <c r="G28" s="435">
        <v>19</v>
      </c>
      <c r="H28" s="435"/>
      <c r="I28" s="435"/>
      <c r="J28" s="435"/>
      <c r="K28" s="435"/>
      <c r="L28" s="435"/>
      <c r="M28" s="435"/>
      <c r="N28" s="435"/>
      <c r="O28" s="435"/>
      <c r="P28" s="435"/>
      <c r="Q28" s="435"/>
      <c r="R28" s="435"/>
      <c r="S28" s="435"/>
      <c r="T28" s="435"/>
      <c r="U28" s="435"/>
      <c r="V28" s="435"/>
      <c r="W28" s="436"/>
      <c r="X28" s="436"/>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6"/>
      <c r="AY28" s="436"/>
      <c r="AZ28" s="436"/>
      <c r="BA28" s="436"/>
      <c r="BB28" s="436"/>
      <c r="BC28" s="436"/>
      <c r="BD28" s="436"/>
      <c r="BE28" s="436"/>
      <c r="BF28" s="436"/>
      <c r="BG28" s="436"/>
      <c r="BH28" s="436"/>
      <c r="BI28" s="436"/>
      <c r="BJ28" s="436"/>
      <c r="BK28" s="436"/>
      <c r="BL28" s="436"/>
      <c r="BM28" s="436"/>
      <c r="BN28" s="436"/>
      <c r="BO28" s="436"/>
      <c r="BP28" s="436"/>
      <c r="BQ28" s="436"/>
      <c r="BR28" s="436"/>
      <c r="BS28" s="436"/>
      <c r="BT28" s="436"/>
      <c r="BU28" s="436"/>
      <c r="BV28" s="436"/>
      <c r="BW28" s="436"/>
      <c r="BX28" s="436"/>
      <c r="BY28" s="436"/>
      <c r="BZ28" s="436"/>
      <c r="CA28" s="436"/>
      <c r="CB28" s="436"/>
      <c r="CC28" s="436"/>
      <c r="CD28" s="436"/>
      <c r="CE28" s="437">
        <v>26</v>
      </c>
      <c r="CF28" s="437">
        <v>26</v>
      </c>
      <c r="CG28" s="437">
        <v>26</v>
      </c>
      <c r="CH28" s="437">
        <v>26</v>
      </c>
      <c r="CI28" s="437">
        <v>26</v>
      </c>
      <c r="CJ28" s="437">
        <v>26</v>
      </c>
      <c r="CK28" s="437">
        <v>26</v>
      </c>
      <c r="CL28" s="437">
        <v>26</v>
      </c>
      <c r="CM28" s="437">
        <v>26</v>
      </c>
      <c r="CN28" s="437">
        <v>26</v>
      </c>
      <c r="CO28" s="437">
        <f t="shared" si="0"/>
        <v>95</v>
      </c>
      <c r="CP28" s="438">
        <f ca="1">ROUND(CO28*'1、课程目标与考核方式'!$H$13/100+IF(ISERROR(VLOOKUP(A28,'4、平时成绩'!$A$2:$H$201,8,FALSE)),0,VLOOKUP(A28,'4、平时成绩'!$A$2:$H$201,8,FALSE)),0)</f>
        <v>72</v>
      </c>
    </row>
    <row r="29" s="32" customFormat="1" spans="1:94">
      <c r="A29" s="433" t="s">
        <v>220</v>
      </c>
      <c r="B29" s="434" t="s">
        <v>221</v>
      </c>
      <c r="C29" s="435">
        <v>19</v>
      </c>
      <c r="D29" s="435">
        <v>19</v>
      </c>
      <c r="E29" s="435">
        <v>19</v>
      </c>
      <c r="F29" s="435">
        <v>19</v>
      </c>
      <c r="G29" s="435">
        <v>19</v>
      </c>
      <c r="H29" s="435"/>
      <c r="I29" s="435"/>
      <c r="J29" s="435"/>
      <c r="K29" s="435"/>
      <c r="L29" s="435"/>
      <c r="M29" s="435"/>
      <c r="N29" s="435"/>
      <c r="O29" s="435"/>
      <c r="P29" s="435"/>
      <c r="Q29" s="435"/>
      <c r="R29" s="435"/>
      <c r="S29" s="435"/>
      <c r="T29" s="435"/>
      <c r="U29" s="435"/>
      <c r="V29" s="435"/>
      <c r="W29" s="436"/>
      <c r="X29" s="436"/>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6"/>
      <c r="AY29" s="436"/>
      <c r="AZ29" s="436"/>
      <c r="BA29" s="436"/>
      <c r="BB29" s="436"/>
      <c r="BC29" s="436"/>
      <c r="BD29" s="436"/>
      <c r="BE29" s="436"/>
      <c r="BF29" s="436"/>
      <c r="BG29" s="436"/>
      <c r="BH29" s="436"/>
      <c r="BI29" s="436"/>
      <c r="BJ29" s="436"/>
      <c r="BK29" s="436"/>
      <c r="BL29" s="436"/>
      <c r="BM29" s="436"/>
      <c r="BN29" s="436"/>
      <c r="BO29" s="436"/>
      <c r="BP29" s="436"/>
      <c r="BQ29" s="436"/>
      <c r="BR29" s="436"/>
      <c r="BS29" s="436"/>
      <c r="BT29" s="436"/>
      <c r="BU29" s="436"/>
      <c r="BV29" s="436"/>
      <c r="BW29" s="436"/>
      <c r="BX29" s="436"/>
      <c r="BY29" s="436"/>
      <c r="BZ29" s="436"/>
      <c r="CA29" s="436"/>
      <c r="CB29" s="436"/>
      <c r="CC29" s="436"/>
      <c r="CD29" s="436"/>
      <c r="CE29" s="437">
        <v>27</v>
      </c>
      <c r="CF29" s="437">
        <v>27</v>
      </c>
      <c r="CG29" s="437">
        <v>27</v>
      </c>
      <c r="CH29" s="437">
        <v>27</v>
      </c>
      <c r="CI29" s="437">
        <v>27</v>
      </c>
      <c r="CJ29" s="437">
        <v>27</v>
      </c>
      <c r="CK29" s="437">
        <v>27</v>
      </c>
      <c r="CL29" s="437">
        <v>27</v>
      </c>
      <c r="CM29" s="437">
        <v>27</v>
      </c>
      <c r="CN29" s="437">
        <v>27</v>
      </c>
      <c r="CO29" s="437">
        <f t="shared" si="0"/>
        <v>95</v>
      </c>
      <c r="CP29" s="438">
        <f ca="1">ROUND(CO29*'1、课程目标与考核方式'!$H$13/100+IF(ISERROR(VLOOKUP(A29,'4、平时成绩'!$A$2:$H$201,8,FALSE)),0,VLOOKUP(A29,'4、平时成绩'!$A$2:$H$201,8,FALSE)),0)</f>
        <v>70</v>
      </c>
    </row>
    <row r="30" s="32" customFormat="1" spans="1:94">
      <c r="A30" s="433" t="s">
        <v>222</v>
      </c>
      <c r="B30" s="434" t="s">
        <v>223</v>
      </c>
      <c r="C30" s="435">
        <v>19</v>
      </c>
      <c r="D30" s="435">
        <v>19</v>
      </c>
      <c r="E30" s="435">
        <v>19</v>
      </c>
      <c r="F30" s="435">
        <v>19</v>
      </c>
      <c r="G30" s="435">
        <v>19</v>
      </c>
      <c r="H30" s="435"/>
      <c r="I30" s="435"/>
      <c r="J30" s="435"/>
      <c r="K30" s="435"/>
      <c r="L30" s="435"/>
      <c r="M30" s="435"/>
      <c r="N30" s="435"/>
      <c r="O30" s="435"/>
      <c r="P30" s="435"/>
      <c r="Q30" s="435"/>
      <c r="R30" s="435"/>
      <c r="S30" s="435"/>
      <c r="T30" s="435"/>
      <c r="U30" s="435"/>
      <c r="V30" s="435"/>
      <c r="W30" s="436"/>
      <c r="X30" s="436"/>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6"/>
      <c r="AY30" s="436"/>
      <c r="AZ30" s="436"/>
      <c r="BA30" s="436"/>
      <c r="BB30" s="436"/>
      <c r="BC30" s="436"/>
      <c r="BD30" s="436"/>
      <c r="BE30" s="436"/>
      <c r="BF30" s="436"/>
      <c r="BG30" s="436"/>
      <c r="BH30" s="436"/>
      <c r="BI30" s="436"/>
      <c r="BJ30" s="436"/>
      <c r="BK30" s="436"/>
      <c r="BL30" s="436"/>
      <c r="BM30" s="436"/>
      <c r="BN30" s="436"/>
      <c r="BO30" s="436"/>
      <c r="BP30" s="436"/>
      <c r="BQ30" s="436"/>
      <c r="BR30" s="436"/>
      <c r="BS30" s="436"/>
      <c r="BT30" s="436"/>
      <c r="BU30" s="436"/>
      <c r="BV30" s="436"/>
      <c r="BW30" s="436"/>
      <c r="BX30" s="436"/>
      <c r="BY30" s="436"/>
      <c r="BZ30" s="436"/>
      <c r="CA30" s="436"/>
      <c r="CB30" s="436"/>
      <c r="CC30" s="436"/>
      <c r="CD30" s="436"/>
      <c r="CE30" s="437">
        <v>28</v>
      </c>
      <c r="CF30" s="437">
        <v>28</v>
      </c>
      <c r="CG30" s="437">
        <v>28</v>
      </c>
      <c r="CH30" s="437">
        <v>28</v>
      </c>
      <c r="CI30" s="437">
        <v>28</v>
      </c>
      <c r="CJ30" s="437">
        <v>28</v>
      </c>
      <c r="CK30" s="437">
        <v>28</v>
      </c>
      <c r="CL30" s="437">
        <v>28</v>
      </c>
      <c r="CM30" s="437">
        <v>28</v>
      </c>
      <c r="CN30" s="437">
        <v>28</v>
      </c>
      <c r="CO30" s="437">
        <f t="shared" si="0"/>
        <v>95</v>
      </c>
      <c r="CP30" s="438">
        <f ca="1">ROUND(CO30*'1、课程目标与考核方式'!$H$13/100+IF(ISERROR(VLOOKUP(A30,'4、平时成绩'!$A$2:$H$201,8,FALSE)),0,VLOOKUP(A30,'4、平时成绩'!$A$2:$H$201,8,FALSE)),0)</f>
        <v>72</v>
      </c>
    </row>
    <row r="31" s="32" customFormat="1" spans="1:94">
      <c r="A31" s="433" t="s">
        <v>224</v>
      </c>
      <c r="B31" s="434" t="s">
        <v>225</v>
      </c>
      <c r="C31" s="435">
        <v>19</v>
      </c>
      <c r="D31" s="435">
        <v>19</v>
      </c>
      <c r="E31" s="435">
        <v>19</v>
      </c>
      <c r="F31" s="435">
        <v>19</v>
      </c>
      <c r="G31" s="435">
        <v>19</v>
      </c>
      <c r="H31" s="435"/>
      <c r="I31" s="435"/>
      <c r="J31" s="435"/>
      <c r="K31" s="435"/>
      <c r="L31" s="435"/>
      <c r="M31" s="435"/>
      <c r="N31" s="435"/>
      <c r="O31" s="435"/>
      <c r="P31" s="435"/>
      <c r="Q31" s="435"/>
      <c r="R31" s="435"/>
      <c r="S31" s="435"/>
      <c r="T31" s="435"/>
      <c r="U31" s="435"/>
      <c r="V31" s="435"/>
      <c r="W31" s="436"/>
      <c r="X31" s="436"/>
      <c r="Y31" s="436"/>
      <c r="Z31" s="436"/>
      <c r="AA31" s="436"/>
      <c r="AB31" s="436"/>
      <c r="AC31" s="436"/>
      <c r="AD31" s="436"/>
      <c r="AE31" s="436"/>
      <c r="AF31" s="436"/>
      <c r="AG31" s="436"/>
      <c r="AH31" s="436"/>
      <c r="AI31" s="436"/>
      <c r="AJ31" s="436"/>
      <c r="AK31" s="436"/>
      <c r="AL31" s="436"/>
      <c r="AM31" s="436"/>
      <c r="AN31" s="436"/>
      <c r="AO31" s="436"/>
      <c r="AP31" s="436"/>
      <c r="AQ31" s="436"/>
      <c r="AR31" s="436"/>
      <c r="AS31" s="436"/>
      <c r="AT31" s="436"/>
      <c r="AU31" s="436"/>
      <c r="AV31" s="436"/>
      <c r="AW31" s="436"/>
      <c r="AX31" s="436"/>
      <c r="AY31" s="436"/>
      <c r="AZ31" s="436"/>
      <c r="BA31" s="436"/>
      <c r="BB31" s="436"/>
      <c r="BC31" s="436"/>
      <c r="BD31" s="436"/>
      <c r="BE31" s="436"/>
      <c r="BF31" s="436"/>
      <c r="BG31" s="436"/>
      <c r="BH31" s="436"/>
      <c r="BI31" s="436"/>
      <c r="BJ31" s="436"/>
      <c r="BK31" s="436"/>
      <c r="BL31" s="436"/>
      <c r="BM31" s="436"/>
      <c r="BN31" s="436"/>
      <c r="BO31" s="436"/>
      <c r="BP31" s="436"/>
      <c r="BQ31" s="436"/>
      <c r="BR31" s="436"/>
      <c r="BS31" s="436"/>
      <c r="BT31" s="436"/>
      <c r="BU31" s="436"/>
      <c r="BV31" s="436"/>
      <c r="BW31" s="436"/>
      <c r="BX31" s="436"/>
      <c r="BY31" s="436"/>
      <c r="BZ31" s="436"/>
      <c r="CA31" s="436"/>
      <c r="CB31" s="436"/>
      <c r="CC31" s="436"/>
      <c r="CD31" s="436"/>
      <c r="CE31" s="437">
        <v>29</v>
      </c>
      <c r="CF31" s="437">
        <v>29</v>
      </c>
      <c r="CG31" s="437">
        <v>29</v>
      </c>
      <c r="CH31" s="437">
        <v>29</v>
      </c>
      <c r="CI31" s="437">
        <v>29</v>
      </c>
      <c r="CJ31" s="437">
        <v>29</v>
      </c>
      <c r="CK31" s="437">
        <v>29</v>
      </c>
      <c r="CL31" s="437">
        <v>29</v>
      </c>
      <c r="CM31" s="437">
        <v>29</v>
      </c>
      <c r="CN31" s="437">
        <v>29</v>
      </c>
      <c r="CO31" s="437">
        <f t="shared" si="0"/>
        <v>95</v>
      </c>
      <c r="CP31" s="438">
        <f ca="1">ROUND(CO31*'1、课程目标与考核方式'!$H$13/100+IF(ISERROR(VLOOKUP(A31,'4、平时成绩'!$A$2:$H$201,8,FALSE)),0,VLOOKUP(A31,'4、平时成绩'!$A$2:$H$201,8,FALSE)),0)</f>
        <v>67</v>
      </c>
    </row>
    <row r="32" s="32" customFormat="1" spans="1:94">
      <c r="A32" s="433" t="s">
        <v>226</v>
      </c>
      <c r="B32" s="434" t="s">
        <v>227</v>
      </c>
      <c r="C32" s="435">
        <v>19</v>
      </c>
      <c r="D32" s="435">
        <v>19</v>
      </c>
      <c r="E32" s="435">
        <v>19</v>
      </c>
      <c r="F32" s="435">
        <v>19</v>
      </c>
      <c r="G32" s="435">
        <v>19</v>
      </c>
      <c r="H32" s="435"/>
      <c r="I32" s="435"/>
      <c r="J32" s="435"/>
      <c r="K32" s="435"/>
      <c r="L32" s="435"/>
      <c r="M32" s="435"/>
      <c r="N32" s="435"/>
      <c r="O32" s="435"/>
      <c r="P32" s="435"/>
      <c r="Q32" s="435"/>
      <c r="R32" s="435"/>
      <c r="S32" s="435"/>
      <c r="T32" s="435"/>
      <c r="U32" s="435"/>
      <c r="V32" s="435"/>
      <c r="W32" s="436"/>
      <c r="X32" s="436"/>
      <c r="Y32" s="436"/>
      <c r="Z32" s="436"/>
      <c r="AA32" s="436"/>
      <c r="AB32" s="436"/>
      <c r="AC32" s="436"/>
      <c r="AD32" s="436"/>
      <c r="AE32" s="436"/>
      <c r="AF32" s="436"/>
      <c r="AG32" s="436"/>
      <c r="AH32" s="436"/>
      <c r="AI32" s="436"/>
      <c r="AJ32" s="436"/>
      <c r="AK32" s="436"/>
      <c r="AL32" s="436"/>
      <c r="AM32" s="436"/>
      <c r="AN32" s="436"/>
      <c r="AO32" s="436"/>
      <c r="AP32" s="436"/>
      <c r="AQ32" s="436"/>
      <c r="AR32" s="436"/>
      <c r="AS32" s="436"/>
      <c r="AT32" s="436"/>
      <c r="AU32" s="436"/>
      <c r="AV32" s="436"/>
      <c r="AW32" s="436"/>
      <c r="AX32" s="436"/>
      <c r="AY32" s="436"/>
      <c r="AZ32" s="436"/>
      <c r="BA32" s="436"/>
      <c r="BB32" s="436"/>
      <c r="BC32" s="436"/>
      <c r="BD32" s="436"/>
      <c r="BE32" s="436"/>
      <c r="BF32" s="436"/>
      <c r="BG32" s="436"/>
      <c r="BH32" s="436"/>
      <c r="BI32" s="436"/>
      <c r="BJ32" s="436"/>
      <c r="BK32" s="436"/>
      <c r="BL32" s="436"/>
      <c r="BM32" s="436"/>
      <c r="BN32" s="436"/>
      <c r="BO32" s="436"/>
      <c r="BP32" s="436"/>
      <c r="BQ32" s="436"/>
      <c r="BR32" s="436"/>
      <c r="BS32" s="436"/>
      <c r="BT32" s="436"/>
      <c r="BU32" s="436"/>
      <c r="BV32" s="436"/>
      <c r="BW32" s="436"/>
      <c r="BX32" s="436"/>
      <c r="BY32" s="436"/>
      <c r="BZ32" s="436"/>
      <c r="CA32" s="436"/>
      <c r="CB32" s="436"/>
      <c r="CC32" s="436"/>
      <c r="CD32" s="436"/>
      <c r="CE32" s="437">
        <v>30</v>
      </c>
      <c r="CF32" s="437">
        <v>30</v>
      </c>
      <c r="CG32" s="437">
        <v>30</v>
      </c>
      <c r="CH32" s="437">
        <v>30</v>
      </c>
      <c r="CI32" s="437">
        <v>30</v>
      </c>
      <c r="CJ32" s="437">
        <v>30</v>
      </c>
      <c r="CK32" s="437">
        <v>30</v>
      </c>
      <c r="CL32" s="437">
        <v>30</v>
      </c>
      <c r="CM32" s="437">
        <v>30</v>
      </c>
      <c r="CN32" s="437">
        <v>30</v>
      </c>
      <c r="CO32" s="437">
        <f t="shared" si="0"/>
        <v>95</v>
      </c>
      <c r="CP32" s="438">
        <f ca="1">ROUND(CO32*'1、课程目标与考核方式'!$H$13/100+IF(ISERROR(VLOOKUP(A32,'4、平时成绩'!$A$2:$H$201,8,FALSE)),0,VLOOKUP(A32,'4、平时成绩'!$A$2:$H$201,8,FALSE)),0)</f>
        <v>70</v>
      </c>
    </row>
    <row r="33" s="32" customFormat="1" spans="1:94">
      <c r="A33" s="433" t="s">
        <v>228</v>
      </c>
      <c r="B33" s="434" t="s">
        <v>229</v>
      </c>
      <c r="C33" s="435">
        <v>19</v>
      </c>
      <c r="D33" s="435">
        <v>19</v>
      </c>
      <c r="E33" s="435">
        <v>19</v>
      </c>
      <c r="F33" s="435">
        <v>19</v>
      </c>
      <c r="G33" s="435">
        <v>19</v>
      </c>
      <c r="H33" s="435"/>
      <c r="I33" s="435"/>
      <c r="J33" s="435"/>
      <c r="K33" s="435"/>
      <c r="L33" s="435"/>
      <c r="M33" s="435"/>
      <c r="N33" s="435"/>
      <c r="O33" s="435"/>
      <c r="P33" s="435"/>
      <c r="Q33" s="435"/>
      <c r="R33" s="435"/>
      <c r="S33" s="435"/>
      <c r="T33" s="435"/>
      <c r="U33" s="435"/>
      <c r="V33" s="435"/>
      <c r="W33" s="436"/>
      <c r="X33" s="436"/>
      <c r="Y33" s="436"/>
      <c r="Z33" s="436"/>
      <c r="AA33" s="436"/>
      <c r="AB33" s="436"/>
      <c r="AC33" s="436"/>
      <c r="AD33" s="436"/>
      <c r="AE33" s="436"/>
      <c r="AF33" s="436"/>
      <c r="AG33" s="436"/>
      <c r="AH33" s="436"/>
      <c r="AI33" s="436"/>
      <c r="AJ33" s="436"/>
      <c r="AK33" s="436"/>
      <c r="AL33" s="436"/>
      <c r="AM33" s="436"/>
      <c r="AN33" s="436"/>
      <c r="AO33" s="436"/>
      <c r="AP33" s="436"/>
      <c r="AQ33" s="436"/>
      <c r="AR33" s="436"/>
      <c r="AS33" s="436"/>
      <c r="AT33" s="436"/>
      <c r="AU33" s="436"/>
      <c r="AV33" s="436"/>
      <c r="AW33" s="436"/>
      <c r="AX33" s="436"/>
      <c r="AY33" s="436"/>
      <c r="AZ33" s="436"/>
      <c r="BA33" s="436"/>
      <c r="BB33" s="436"/>
      <c r="BC33" s="436"/>
      <c r="BD33" s="436"/>
      <c r="BE33" s="436"/>
      <c r="BF33" s="436"/>
      <c r="BG33" s="436"/>
      <c r="BH33" s="436"/>
      <c r="BI33" s="436"/>
      <c r="BJ33" s="436"/>
      <c r="BK33" s="436"/>
      <c r="BL33" s="436"/>
      <c r="BM33" s="436"/>
      <c r="BN33" s="436"/>
      <c r="BO33" s="436"/>
      <c r="BP33" s="436"/>
      <c r="BQ33" s="436"/>
      <c r="BR33" s="436"/>
      <c r="BS33" s="436"/>
      <c r="BT33" s="436"/>
      <c r="BU33" s="436"/>
      <c r="BV33" s="436"/>
      <c r="BW33" s="436"/>
      <c r="BX33" s="436"/>
      <c r="BY33" s="436"/>
      <c r="BZ33" s="436"/>
      <c r="CA33" s="436"/>
      <c r="CB33" s="436"/>
      <c r="CC33" s="436"/>
      <c r="CD33" s="436"/>
      <c r="CE33" s="437">
        <v>31</v>
      </c>
      <c r="CF33" s="437">
        <v>31</v>
      </c>
      <c r="CG33" s="437">
        <v>31</v>
      </c>
      <c r="CH33" s="437">
        <v>31</v>
      </c>
      <c r="CI33" s="437">
        <v>31</v>
      </c>
      <c r="CJ33" s="437">
        <v>31</v>
      </c>
      <c r="CK33" s="437">
        <v>31</v>
      </c>
      <c r="CL33" s="437">
        <v>31</v>
      </c>
      <c r="CM33" s="437">
        <v>31</v>
      </c>
      <c r="CN33" s="437">
        <v>31</v>
      </c>
      <c r="CO33" s="437">
        <f t="shared" si="0"/>
        <v>95</v>
      </c>
      <c r="CP33" s="438">
        <f ca="1">ROUND(CO33*'1、课程目标与考核方式'!$H$13/100+IF(ISERROR(VLOOKUP(A33,'4、平时成绩'!$A$2:$H$201,8,FALSE)),0,VLOOKUP(A33,'4、平时成绩'!$A$2:$H$201,8,FALSE)),0)</f>
        <v>71</v>
      </c>
    </row>
    <row r="34" s="32" customFormat="1" spans="1:94">
      <c r="A34" s="433" t="s">
        <v>230</v>
      </c>
      <c r="B34" s="434" t="s">
        <v>231</v>
      </c>
      <c r="C34" s="435">
        <v>19</v>
      </c>
      <c r="D34" s="435">
        <v>19</v>
      </c>
      <c r="E34" s="435">
        <v>19</v>
      </c>
      <c r="F34" s="435">
        <v>19</v>
      </c>
      <c r="G34" s="435">
        <v>19</v>
      </c>
      <c r="H34" s="435"/>
      <c r="I34" s="435"/>
      <c r="J34" s="435"/>
      <c r="K34" s="435"/>
      <c r="L34" s="435"/>
      <c r="M34" s="435"/>
      <c r="N34" s="435"/>
      <c r="O34" s="435"/>
      <c r="P34" s="435"/>
      <c r="Q34" s="435"/>
      <c r="R34" s="435"/>
      <c r="S34" s="435"/>
      <c r="T34" s="435"/>
      <c r="U34" s="435"/>
      <c r="V34" s="435"/>
      <c r="W34" s="436"/>
      <c r="X34" s="436"/>
      <c r="Y34" s="436"/>
      <c r="Z34" s="436"/>
      <c r="AA34" s="436"/>
      <c r="AB34" s="436"/>
      <c r="AC34" s="436"/>
      <c r="AD34" s="436"/>
      <c r="AE34" s="436"/>
      <c r="AF34" s="436"/>
      <c r="AG34" s="436"/>
      <c r="AH34" s="436"/>
      <c r="AI34" s="436"/>
      <c r="AJ34" s="436"/>
      <c r="AK34" s="436"/>
      <c r="AL34" s="436"/>
      <c r="AM34" s="436"/>
      <c r="AN34" s="436"/>
      <c r="AO34" s="436"/>
      <c r="AP34" s="436"/>
      <c r="AQ34" s="436"/>
      <c r="AR34" s="436"/>
      <c r="AS34" s="436"/>
      <c r="AT34" s="436"/>
      <c r="AU34" s="436"/>
      <c r="AV34" s="436"/>
      <c r="AW34" s="436"/>
      <c r="AX34" s="436"/>
      <c r="AY34" s="436"/>
      <c r="AZ34" s="436"/>
      <c r="BA34" s="436"/>
      <c r="BB34" s="436"/>
      <c r="BC34" s="436"/>
      <c r="BD34" s="436"/>
      <c r="BE34" s="436"/>
      <c r="BF34" s="436"/>
      <c r="BG34" s="436"/>
      <c r="BH34" s="436"/>
      <c r="BI34" s="436"/>
      <c r="BJ34" s="436"/>
      <c r="BK34" s="436"/>
      <c r="BL34" s="436"/>
      <c r="BM34" s="436"/>
      <c r="BN34" s="436"/>
      <c r="BO34" s="436"/>
      <c r="BP34" s="436"/>
      <c r="BQ34" s="436"/>
      <c r="BR34" s="436"/>
      <c r="BS34" s="436"/>
      <c r="BT34" s="436"/>
      <c r="BU34" s="436"/>
      <c r="BV34" s="436"/>
      <c r="BW34" s="436"/>
      <c r="BX34" s="436"/>
      <c r="BY34" s="436"/>
      <c r="BZ34" s="436"/>
      <c r="CA34" s="436"/>
      <c r="CB34" s="436"/>
      <c r="CC34" s="436"/>
      <c r="CD34" s="436"/>
      <c r="CE34" s="437">
        <v>32</v>
      </c>
      <c r="CF34" s="437">
        <v>32</v>
      </c>
      <c r="CG34" s="437">
        <v>32</v>
      </c>
      <c r="CH34" s="437">
        <v>32</v>
      </c>
      <c r="CI34" s="437">
        <v>32</v>
      </c>
      <c r="CJ34" s="437">
        <v>32</v>
      </c>
      <c r="CK34" s="437">
        <v>32</v>
      </c>
      <c r="CL34" s="437">
        <v>32</v>
      </c>
      <c r="CM34" s="437">
        <v>32</v>
      </c>
      <c r="CN34" s="437">
        <v>32</v>
      </c>
      <c r="CO34" s="437">
        <f t="shared" si="0"/>
        <v>95</v>
      </c>
      <c r="CP34" s="438">
        <f ca="1">ROUND(CO34*'1、课程目标与考核方式'!$H$13/100+IF(ISERROR(VLOOKUP(A34,'4、平时成绩'!$A$2:$H$201,8,FALSE)),0,VLOOKUP(A34,'4、平时成绩'!$A$2:$H$201,8,FALSE)),0)</f>
        <v>72</v>
      </c>
    </row>
    <row r="35" s="32" customFormat="1" spans="1:94">
      <c r="A35" s="433" t="s">
        <v>232</v>
      </c>
      <c r="B35" s="434" t="s">
        <v>233</v>
      </c>
      <c r="C35" s="435">
        <v>19</v>
      </c>
      <c r="D35" s="435">
        <v>19</v>
      </c>
      <c r="E35" s="435">
        <v>19</v>
      </c>
      <c r="F35" s="435">
        <v>19</v>
      </c>
      <c r="G35" s="435">
        <v>19</v>
      </c>
      <c r="H35" s="435"/>
      <c r="I35" s="435"/>
      <c r="J35" s="435"/>
      <c r="K35" s="435"/>
      <c r="L35" s="435"/>
      <c r="M35" s="435"/>
      <c r="N35" s="435"/>
      <c r="O35" s="435"/>
      <c r="P35" s="435"/>
      <c r="Q35" s="435"/>
      <c r="R35" s="435"/>
      <c r="S35" s="435"/>
      <c r="T35" s="435"/>
      <c r="U35" s="435"/>
      <c r="V35" s="435"/>
      <c r="W35" s="436"/>
      <c r="X35" s="436"/>
      <c r="Y35" s="436"/>
      <c r="Z35" s="436"/>
      <c r="AA35" s="436"/>
      <c r="AB35" s="436"/>
      <c r="AC35" s="436"/>
      <c r="AD35" s="436"/>
      <c r="AE35" s="436"/>
      <c r="AF35" s="436"/>
      <c r="AG35" s="436"/>
      <c r="AH35" s="436"/>
      <c r="AI35" s="436"/>
      <c r="AJ35" s="436"/>
      <c r="AK35" s="436"/>
      <c r="AL35" s="436"/>
      <c r="AM35" s="436"/>
      <c r="AN35" s="436"/>
      <c r="AO35" s="436"/>
      <c r="AP35" s="436"/>
      <c r="AQ35" s="436"/>
      <c r="AR35" s="436"/>
      <c r="AS35" s="436"/>
      <c r="AT35" s="436"/>
      <c r="AU35" s="436"/>
      <c r="AV35" s="436"/>
      <c r="AW35" s="436"/>
      <c r="AX35" s="436"/>
      <c r="AY35" s="436"/>
      <c r="AZ35" s="436"/>
      <c r="BA35" s="436"/>
      <c r="BB35" s="436"/>
      <c r="BC35" s="436"/>
      <c r="BD35" s="436"/>
      <c r="BE35" s="436"/>
      <c r="BF35" s="436"/>
      <c r="BG35" s="436"/>
      <c r="BH35" s="436"/>
      <c r="BI35" s="436"/>
      <c r="BJ35" s="436"/>
      <c r="BK35" s="436"/>
      <c r="BL35" s="436"/>
      <c r="BM35" s="436"/>
      <c r="BN35" s="436"/>
      <c r="BO35" s="436"/>
      <c r="BP35" s="436"/>
      <c r="BQ35" s="436"/>
      <c r="BR35" s="436"/>
      <c r="BS35" s="436"/>
      <c r="BT35" s="436"/>
      <c r="BU35" s="436"/>
      <c r="BV35" s="436"/>
      <c r="BW35" s="436"/>
      <c r="BX35" s="436"/>
      <c r="BY35" s="436"/>
      <c r="BZ35" s="436"/>
      <c r="CA35" s="436"/>
      <c r="CB35" s="436"/>
      <c r="CC35" s="436"/>
      <c r="CD35" s="436"/>
      <c r="CE35" s="437">
        <v>33</v>
      </c>
      <c r="CF35" s="437">
        <v>33</v>
      </c>
      <c r="CG35" s="437">
        <v>33</v>
      </c>
      <c r="CH35" s="437">
        <v>33</v>
      </c>
      <c r="CI35" s="437">
        <v>33</v>
      </c>
      <c r="CJ35" s="437">
        <v>33</v>
      </c>
      <c r="CK35" s="437">
        <v>33</v>
      </c>
      <c r="CL35" s="437">
        <v>33</v>
      </c>
      <c r="CM35" s="437">
        <v>33</v>
      </c>
      <c r="CN35" s="437">
        <v>33</v>
      </c>
      <c r="CO35" s="437">
        <f t="shared" ref="CO35:CO66" si="1">SUM(C35:CD35)</f>
        <v>95</v>
      </c>
      <c r="CP35" s="438">
        <f ca="1">ROUND(CO35*'1、课程目标与考核方式'!$H$13/100+IF(ISERROR(VLOOKUP(A35,'4、平时成绩'!$A$2:$H$201,8,FALSE)),0,VLOOKUP(A35,'4、平时成绩'!$A$2:$H$201,8,FALSE)),0)</f>
        <v>73</v>
      </c>
    </row>
    <row r="36" s="32" customFormat="1" spans="1:94">
      <c r="A36" s="433" t="s">
        <v>234</v>
      </c>
      <c r="B36" s="434" t="s">
        <v>235</v>
      </c>
      <c r="C36" s="435">
        <v>19</v>
      </c>
      <c r="D36" s="435">
        <v>19</v>
      </c>
      <c r="E36" s="435">
        <v>19</v>
      </c>
      <c r="F36" s="435">
        <v>19</v>
      </c>
      <c r="G36" s="435">
        <v>19</v>
      </c>
      <c r="H36" s="435"/>
      <c r="I36" s="435"/>
      <c r="J36" s="435"/>
      <c r="K36" s="435"/>
      <c r="L36" s="435"/>
      <c r="M36" s="435"/>
      <c r="N36" s="435"/>
      <c r="O36" s="435"/>
      <c r="P36" s="435"/>
      <c r="Q36" s="435"/>
      <c r="R36" s="435"/>
      <c r="S36" s="435"/>
      <c r="T36" s="435"/>
      <c r="U36" s="435"/>
      <c r="V36" s="435"/>
      <c r="W36" s="436"/>
      <c r="X36" s="436"/>
      <c r="Y36" s="436"/>
      <c r="Z36" s="436"/>
      <c r="AA36" s="436"/>
      <c r="AB36" s="436"/>
      <c r="AC36" s="436"/>
      <c r="AD36" s="436"/>
      <c r="AE36" s="436"/>
      <c r="AF36" s="436"/>
      <c r="AG36" s="436"/>
      <c r="AH36" s="436"/>
      <c r="AI36" s="436"/>
      <c r="AJ36" s="436"/>
      <c r="AK36" s="436"/>
      <c r="AL36" s="436"/>
      <c r="AM36" s="436"/>
      <c r="AN36" s="436"/>
      <c r="AO36" s="436"/>
      <c r="AP36" s="436"/>
      <c r="AQ36" s="436"/>
      <c r="AR36" s="436"/>
      <c r="AS36" s="436"/>
      <c r="AT36" s="436"/>
      <c r="AU36" s="436"/>
      <c r="AV36" s="436"/>
      <c r="AW36" s="436"/>
      <c r="AX36" s="436"/>
      <c r="AY36" s="436"/>
      <c r="AZ36" s="436"/>
      <c r="BA36" s="436"/>
      <c r="BB36" s="436"/>
      <c r="BC36" s="436"/>
      <c r="BD36" s="436"/>
      <c r="BE36" s="436"/>
      <c r="BF36" s="436"/>
      <c r="BG36" s="436"/>
      <c r="BH36" s="436"/>
      <c r="BI36" s="436"/>
      <c r="BJ36" s="436"/>
      <c r="BK36" s="436"/>
      <c r="BL36" s="436"/>
      <c r="BM36" s="436"/>
      <c r="BN36" s="436"/>
      <c r="BO36" s="436"/>
      <c r="BP36" s="436"/>
      <c r="BQ36" s="436"/>
      <c r="BR36" s="436"/>
      <c r="BS36" s="436"/>
      <c r="BT36" s="436"/>
      <c r="BU36" s="436"/>
      <c r="BV36" s="436"/>
      <c r="BW36" s="436"/>
      <c r="BX36" s="436"/>
      <c r="BY36" s="436"/>
      <c r="BZ36" s="436"/>
      <c r="CA36" s="436"/>
      <c r="CB36" s="436"/>
      <c r="CC36" s="436"/>
      <c r="CD36" s="436"/>
      <c r="CE36" s="437">
        <v>34</v>
      </c>
      <c r="CF36" s="437">
        <v>34</v>
      </c>
      <c r="CG36" s="437">
        <v>34</v>
      </c>
      <c r="CH36" s="437">
        <v>34</v>
      </c>
      <c r="CI36" s="437">
        <v>34</v>
      </c>
      <c r="CJ36" s="437">
        <v>34</v>
      </c>
      <c r="CK36" s="437">
        <v>34</v>
      </c>
      <c r="CL36" s="437">
        <v>34</v>
      </c>
      <c r="CM36" s="437">
        <v>34</v>
      </c>
      <c r="CN36" s="437">
        <v>34</v>
      </c>
      <c r="CO36" s="437">
        <f t="shared" si="1"/>
        <v>95</v>
      </c>
      <c r="CP36" s="438">
        <f ca="1">ROUND(CO36*'1、课程目标与考核方式'!$H$13/100+IF(ISERROR(VLOOKUP(A36,'4、平时成绩'!$A$2:$H$201,8,FALSE)),0,VLOOKUP(A36,'4、平时成绩'!$A$2:$H$201,8,FALSE)),0)</f>
        <v>70</v>
      </c>
    </row>
    <row r="37" s="32" customFormat="1" spans="1:94">
      <c r="A37" s="433" t="s">
        <v>236</v>
      </c>
      <c r="B37" s="434" t="s">
        <v>237</v>
      </c>
      <c r="C37" s="435">
        <v>19</v>
      </c>
      <c r="D37" s="435">
        <v>19</v>
      </c>
      <c r="E37" s="435">
        <v>19</v>
      </c>
      <c r="F37" s="435">
        <v>19</v>
      </c>
      <c r="G37" s="435">
        <v>19</v>
      </c>
      <c r="H37" s="435"/>
      <c r="I37" s="435"/>
      <c r="J37" s="435"/>
      <c r="K37" s="435"/>
      <c r="L37" s="435"/>
      <c r="M37" s="435"/>
      <c r="N37" s="435"/>
      <c r="O37" s="435"/>
      <c r="P37" s="435"/>
      <c r="Q37" s="435"/>
      <c r="R37" s="435"/>
      <c r="S37" s="435"/>
      <c r="T37" s="435"/>
      <c r="U37" s="435"/>
      <c r="V37" s="435"/>
      <c r="W37" s="436"/>
      <c r="X37" s="436"/>
      <c r="Y37" s="436"/>
      <c r="Z37" s="436"/>
      <c r="AA37" s="436"/>
      <c r="AB37" s="436"/>
      <c r="AC37" s="436"/>
      <c r="AD37" s="436"/>
      <c r="AE37" s="436"/>
      <c r="AF37" s="436"/>
      <c r="AG37" s="436"/>
      <c r="AH37" s="436"/>
      <c r="AI37" s="436"/>
      <c r="AJ37" s="436"/>
      <c r="AK37" s="436"/>
      <c r="AL37" s="436"/>
      <c r="AM37" s="436"/>
      <c r="AN37" s="436"/>
      <c r="AO37" s="436"/>
      <c r="AP37" s="436"/>
      <c r="AQ37" s="436"/>
      <c r="AR37" s="436"/>
      <c r="AS37" s="436"/>
      <c r="AT37" s="436"/>
      <c r="AU37" s="436"/>
      <c r="AV37" s="436"/>
      <c r="AW37" s="436"/>
      <c r="AX37" s="436"/>
      <c r="AY37" s="436"/>
      <c r="AZ37" s="436"/>
      <c r="BA37" s="436"/>
      <c r="BB37" s="436"/>
      <c r="BC37" s="436"/>
      <c r="BD37" s="436"/>
      <c r="BE37" s="436"/>
      <c r="BF37" s="436"/>
      <c r="BG37" s="436"/>
      <c r="BH37" s="436"/>
      <c r="BI37" s="436"/>
      <c r="BJ37" s="436"/>
      <c r="BK37" s="436"/>
      <c r="BL37" s="436"/>
      <c r="BM37" s="436"/>
      <c r="BN37" s="436"/>
      <c r="BO37" s="436"/>
      <c r="BP37" s="436"/>
      <c r="BQ37" s="436"/>
      <c r="BR37" s="436"/>
      <c r="BS37" s="436"/>
      <c r="BT37" s="436"/>
      <c r="BU37" s="436"/>
      <c r="BV37" s="436"/>
      <c r="BW37" s="436"/>
      <c r="BX37" s="436"/>
      <c r="BY37" s="436"/>
      <c r="BZ37" s="436"/>
      <c r="CA37" s="436"/>
      <c r="CB37" s="436"/>
      <c r="CC37" s="436"/>
      <c r="CD37" s="436"/>
      <c r="CE37" s="437">
        <v>35</v>
      </c>
      <c r="CF37" s="437">
        <v>35</v>
      </c>
      <c r="CG37" s="437">
        <v>35</v>
      </c>
      <c r="CH37" s="437">
        <v>35</v>
      </c>
      <c r="CI37" s="437">
        <v>35</v>
      </c>
      <c r="CJ37" s="437">
        <v>35</v>
      </c>
      <c r="CK37" s="437">
        <v>35</v>
      </c>
      <c r="CL37" s="437">
        <v>35</v>
      </c>
      <c r="CM37" s="437">
        <v>35</v>
      </c>
      <c r="CN37" s="437">
        <v>35</v>
      </c>
      <c r="CO37" s="437">
        <f t="shared" si="1"/>
        <v>95</v>
      </c>
      <c r="CP37" s="438">
        <f ca="1">ROUND(CO37*'1、课程目标与考核方式'!$H$13/100+IF(ISERROR(VLOOKUP(A37,'4、平时成绩'!$A$2:$H$201,8,FALSE)),0,VLOOKUP(A37,'4、平时成绩'!$A$2:$H$201,8,FALSE)),0)</f>
        <v>70</v>
      </c>
    </row>
    <row r="38" s="32" customFormat="1" spans="1:94">
      <c r="A38" s="433" t="s">
        <v>238</v>
      </c>
      <c r="B38" s="434" t="s">
        <v>239</v>
      </c>
      <c r="C38" s="435">
        <v>19</v>
      </c>
      <c r="D38" s="435">
        <v>19</v>
      </c>
      <c r="E38" s="435">
        <v>19</v>
      </c>
      <c r="F38" s="435">
        <v>19</v>
      </c>
      <c r="G38" s="435">
        <v>19</v>
      </c>
      <c r="H38" s="435"/>
      <c r="I38" s="435"/>
      <c r="J38" s="435"/>
      <c r="K38" s="435"/>
      <c r="L38" s="435"/>
      <c r="M38" s="435"/>
      <c r="N38" s="435"/>
      <c r="O38" s="435"/>
      <c r="P38" s="435"/>
      <c r="Q38" s="435"/>
      <c r="R38" s="435"/>
      <c r="S38" s="435"/>
      <c r="T38" s="435"/>
      <c r="U38" s="435"/>
      <c r="V38" s="435"/>
      <c r="W38" s="436"/>
      <c r="X38" s="436"/>
      <c r="Y38" s="436"/>
      <c r="Z38" s="436"/>
      <c r="AA38" s="436"/>
      <c r="AB38" s="436"/>
      <c r="AC38" s="436"/>
      <c r="AD38" s="436"/>
      <c r="AE38" s="436"/>
      <c r="AF38" s="436"/>
      <c r="AG38" s="436"/>
      <c r="AH38" s="436"/>
      <c r="AI38" s="436"/>
      <c r="AJ38" s="436"/>
      <c r="AK38" s="436"/>
      <c r="AL38" s="436"/>
      <c r="AM38" s="436"/>
      <c r="AN38" s="436"/>
      <c r="AO38" s="436"/>
      <c r="AP38" s="436"/>
      <c r="AQ38" s="436"/>
      <c r="AR38" s="436"/>
      <c r="AS38" s="436"/>
      <c r="AT38" s="436"/>
      <c r="AU38" s="436"/>
      <c r="AV38" s="436"/>
      <c r="AW38" s="436"/>
      <c r="AX38" s="436"/>
      <c r="AY38" s="436"/>
      <c r="AZ38" s="436"/>
      <c r="BA38" s="436"/>
      <c r="BB38" s="436"/>
      <c r="BC38" s="436"/>
      <c r="BD38" s="436"/>
      <c r="BE38" s="436"/>
      <c r="BF38" s="436"/>
      <c r="BG38" s="436"/>
      <c r="BH38" s="436"/>
      <c r="BI38" s="436"/>
      <c r="BJ38" s="436"/>
      <c r="BK38" s="436"/>
      <c r="BL38" s="436"/>
      <c r="BM38" s="436"/>
      <c r="BN38" s="436"/>
      <c r="BO38" s="436"/>
      <c r="BP38" s="436"/>
      <c r="BQ38" s="436"/>
      <c r="BR38" s="436"/>
      <c r="BS38" s="436"/>
      <c r="BT38" s="436"/>
      <c r="BU38" s="436"/>
      <c r="BV38" s="436"/>
      <c r="BW38" s="436"/>
      <c r="BX38" s="436"/>
      <c r="BY38" s="436"/>
      <c r="BZ38" s="436"/>
      <c r="CA38" s="436"/>
      <c r="CB38" s="436"/>
      <c r="CC38" s="436"/>
      <c r="CD38" s="436"/>
      <c r="CE38" s="437">
        <v>36</v>
      </c>
      <c r="CF38" s="437">
        <v>36</v>
      </c>
      <c r="CG38" s="437">
        <v>36</v>
      </c>
      <c r="CH38" s="437">
        <v>36</v>
      </c>
      <c r="CI38" s="437">
        <v>36</v>
      </c>
      <c r="CJ38" s="437">
        <v>36</v>
      </c>
      <c r="CK38" s="437">
        <v>36</v>
      </c>
      <c r="CL38" s="437">
        <v>36</v>
      </c>
      <c r="CM38" s="437">
        <v>36</v>
      </c>
      <c r="CN38" s="437">
        <v>36</v>
      </c>
      <c r="CO38" s="437">
        <f t="shared" si="1"/>
        <v>95</v>
      </c>
      <c r="CP38" s="438">
        <f ca="1">ROUND(CO38*'1、课程目标与考核方式'!$H$13/100+IF(ISERROR(VLOOKUP(A38,'4、平时成绩'!$A$2:$H$201,8,FALSE)),0,VLOOKUP(A38,'4、平时成绩'!$A$2:$H$201,8,FALSE)),0)</f>
        <v>68</v>
      </c>
    </row>
    <row r="39" s="32" customFormat="1" spans="1:94">
      <c r="A39" s="433" t="s">
        <v>240</v>
      </c>
      <c r="B39" s="434" t="s">
        <v>241</v>
      </c>
      <c r="C39" s="435">
        <v>19</v>
      </c>
      <c r="D39" s="435">
        <v>19</v>
      </c>
      <c r="E39" s="435">
        <v>19</v>
      </c>
      <c r="F39" s="435">
        <v>19</v>
      </c>
      <c r="G39" s="435">
        <v>19</v>
      </c>
      <c r="H39" s="435"/>
      <c r="I39" s="435"/>
      <c r="J39" s="435"/>
      <c r="K39" s="435"/>
      <c r="L39" s="435"/>
      <c r="M39" s="435"/>
      <c r="N39" s="435"/>
      <c r="O39" s="435"/>
      <c r="P39" s="435"/>
      <c r="Q39" s="435"/>
      <c r="R39" s="435"/>
      <c r="S39" s="435"/>
      <c r="T39" s="435"/>
      <c r="U39" s="435"/>
      <c r="V39" s="435"/>
      <c r="W39" s="436"/>
      <c r="X39" s="436"/>
      <c r="Y39" s="436"/>
      <c r="Z39" s="436"/>
      <c r="AA39" s="436"/>
      <c r="AB39" s="436"/>
      <c r="AC39" s="436"/>
      <c r="AD39" s="436"/>
      <c r="AE39" s="436"/>
      <c r="AF39" s="436"/>
      <c r="AG39" s="436"/>
      <c r="AH39" s="436"/>
      <c r="AI39" s="436"/>
      <c r="AJ39" s="436"/>
      <c r="AK39" s="436"/>
      <c r="AL39" s="436"/>
      <c r="AM39" s="436"/>
      <c r="AN39" s="436"/>
      <c r="AO39" s="436"/>
      <c r="AP39" s="436"/>
      <c r="AQ39" s="436"/>
      <c r="AR39" s="436"/>
      <c r="AS39" s="436"/>
      <c r="AT39" s="436"/>
      <c r="AU39" s="436"/>
      <c r="AV39" s="436"/>
      <c r="AW39" s="436"/>
      <c r="AX39" s="436"/>
      <c r="AY39" s="436"/>
      <c r="AZ39" s="436"/>
      <c r="BA39" s="436"/>
      <c r="BB39" s="436"/>
      <c r="BC39" s="436"/>
      <c r="BD39" s="436"/>
      <c r="BE39" s="436"/>
      <c r="BF39" s="436"/>
      <c r="BG39" s="436"/>
      <c r="BH39" s="436"/>
      <c r="BI39" s="436"/>
      <c r="BJ39" s="436"/>
      <c r="BK39" s="436"/>
      <c r="BL39" s="436"/>
      <c r="BM39" s="436"/>
      <c r="BN39" s="436"/>
      <c r="BO39" s="436"/>
      <c r="BP39" s="436"/>
      <c r="BQ39" s="436"/>
      <c r="BR39" s="436"/>
      <c r="BS39" s="436"/>
      <c r="BT39" s="436"/>
      <c r="BU39" s="436"/>
      <c r="BV39" s="436"/>
      <c r="BW39" s="436"/>
      <c r="BX39" s="436"/>
      <c r="BY39" s="436"/>
      <c r="BZ39" s="436"/>
      <c r="CA39" s="436"/>
      <c r="CB39" s="436"/>
      <c r="CC39" s="436"/>
      <c r="CD39" s="436"/>
      <c r="CE39" s="437">
        <v>37</v>
      </c>
      <c r="CF39" s="437">
        <v>37</v>
      </c>
      <c r="CG39" s="437">
        <v>37</v>
      </c>
      <c r="CH39" s="437">
        <v>37</v>
      </c>
      <c r="CI39" s="437">
        <v>37</v>
      </c>
      <c r="CJ39" s="437">
        <v>37</v>
      </c>
      <c r="CK39" s="437">
        <v>37</v>
      </c>
      <c r="CL39" s="437">
        <v>37</v>
      </c>
      <c r="CM39" s="437">
        <v>37</v>
      </c>
      <c r="CN39" s="437">
        <v>37</v>
      </c>
      <c r="CO39" s="437">
        <f t="shared" si="1"/>
        <v>95</v>
      </c>
      <c r="CP39" s="438">
        <f ca="1">ROUND(CO39*'1、课程目标与考核方式'!$H$13/100+IF(ISERROR(VLOOKUP(A39,'4、平时成绩'!$A$2:$H$201,8,FALSE)),0,VLOOKUP(A39,'4、平时成绩'!$A$2:$H$201,8,FALSE)),0)</f>
        <v>73</v>
      </c>
    </row>
    <row r="40" s="32" customFormat="1" spans="1:94">
      <c r="A40" s="433" t="s">
        <v>242</v>
      </c>
      <c r="B40" s="434" t="s">
        <v>243</v>
      </c>
      <c r="C40" s="435">
        <v>19</v>
      </c>
      <c r="D40" s="435">
        <v>19</v>
      </c>
      <c r="E40" s="435">
        <v>19</v>
      </c>
      <c r="F40" s="435">
        <v>19</v>
      </c>
      <c r="G40" s="435">
        <v>19</v>
      </c>
      <c r="H40" s="435"/>
      <c r="I40" s="435"/>
      <c r="J40" s="435"/>
      <c r="K40" s="435"/>
      <c r="L40" s="435"/>
      <c r="M40" s="435"/>
      <c r="N40" s="435"/>
      <c r="O40" s="435"/>
      <c r="P40" s="435"/>
      <c r="Q40" s="435"/>
      <c r="R40" s="435"/>
      <c r="S40" s="435"/>
      <c r="T40" s="435"/>
      <c r="U40" s="435"/>
      <c r="V40" s="435"/>
      <c r="W40" s="436"/>
      <c r="X40" s="436"/>
      <c r="Y40" s="436"/>
      <c r="Z40" s="436"/>
      <c r="AA40" s="436"/>
      <c r="AB40" s="436"/>
      <c r="AC40" s="436"/>
      <c r="AD40" s="436"/>
      <c r="AE40" s="436"/>
      <c r="AF40" s="436"/>
      <c r="AG40" s="436"/>
      <c r="AH40" s="436"/>
      <c r="AI40" s="436"/>
      <c r="AJ40" s="436"/>
      <c r="AK40" s="436"/>
      <c r="AL40" s="436"/>
      <c r="AM40" s="436"/>
      <c r="AN40" s="436"/>
      <c r="AO40" s="436"/>
      <c r="AP40" s="436"/>
      <c r="AQ40" s="436"/>
      <c r="AR40" s="436"/>
      <c r="AS40" s="436"/>
      <c r="AT40" s="436"/>
      <c r="AU40" s="436"/>
      <c r="AV40" s="436"/>
      <c r="AW40" s="436"/>
      <c r="AX40" s="436"/>
      <c r="AY40" s="436"/>
      <c r="AZ40" s="436"/>
      <c r="BA40" s="436"/>
      <c r="BB40" s="436"/>
      <c r="BC40" s="436"/>
      <c r="BD40" s="436"/>
      <c r="BE40" s="436"/>
      <c r="BF40" s="436"/>
      <c r="BG40" s="436"/>
      <c r="BH40" s="436"/>
      <c r="BI40" s="436"/>
      <c r="BJ40" s="436"/>
      <c r="BK40" s="436"/>
      <c r="BL40" s="436"/>
      <c r="BM40" s="436"/>
      <c r="BN40" s="436"/>
      <c r="BO40" s="436"/>
      <c r="BP40" s="436"/>
      <c r="BQ40" s="436"/>
      <c r="BR40" s="436"/>
      <c r="BS40" s="436"/>
      <c r="BT40" s="436"/>
      <c r="BU40" s="436"/>
      <c r="BV40" s="436"/>
      <c r="BW40" s="436"/>
      <c r="BX40" s="436"/>
      <c r="BY40" s="436"/>
      <c r="BZ40" s="436"/>
      <c r="CA40" s="436"/>
      <c r="CB40" s="436"/>
      <c r="CC40" s="436"/>
      <c r="CD40" s="436"/>
      <c r="CE40" s="437">
        <v>38</v>
      </c>
      <c r="CF40" s="437">
        <v>38</v>
      </c>
      <c r="CG40" s="437">
        <v>38</v>
      </c>
      <c r="CH40" s="437">
        <v>38</v>
      </c>
      <c r="CI40" s="437">
        <v>38</v>
      </c>
      <c r="CJ40" s="437">
        <v>38</v>
      </c>
      <c r="CK40" s="437">
        <v>38</v>
      </c>
      <c r="CL40" s="437">
        <v>38</v>
      </c>
      <c r="CM40" s="437">
        <v>38</v>
      </c>
      <c r="CN40" s="437">
        <v>38</v>
      </c>
      <c r="CO40" s="437">
        <f t="shared" si="1"/>
        <v>95</v>
      </c>
      <c r="CP40" s="438">
        <f ca="1">ROUND(CO40*'1、课程目标与考核方式'!$H$13/100+IF(ISERROR(VLOOKUP(A40,'4、平时成绩'!$A$2:$H$201,8,FALSE)),0,VLOOKUP(A40,'4、平时成绩'!$A$2:$H$201,8,FALSE)),0)</f>
        <v>69</v>
      </c>
    </row>
    <row r="41" s="32" customFormat="1" spans="1:94">
      <c r="A41" s="433" t="s">
        <v>244</v>
      </c>
      <c r="B41" s="434" t="s">
        <v>245</v>
      </c>
      <c r="C41" s="435">
        <v>19</v>
      </c>
      <c r="D41" s="435">
        <v>19</v>
      </c>
      <c r="E41" s="435">
        <v>19</v>
      </c>
      <c r="F41" s="435">
        <v>19</v>
      </c>
      <c r="G41" s="435">
        <v>19</v>
      </c>
      <c r="H41" s="435"/>
      <c r="I41" s="435"/>
      <c r="J41" s="435"/>
      <c r="K41" s="435"/>
      <c r="L41" s="435"/>
      <c r="M41" s="435"/>
      <c r="N41" s="435"/>
      <c r="O41" s="435"/>
      <c r="P41" s="435"/>
      <c r="Q41" s="435"/>
      <c r="R41" s="435"/>
      <c r="S41" s="435"/>
      <c r="T41" s="435"/>
      <c r="U41" s="435"/>
      <c r="V41" s="435"/>
      <c r="W41" s="436"/>
      <c r="X41" s="436"/>
      <c r="Y41" s="436"/>
      <c r="Z41" s="436"/>
      <c r="AA41" s="436"/>
      <c r="AB41" s="436"/>
      <c r="AC41" s="436"/>
      <c r="AD41" s="436"/>
      <c r="AE41" s="436"/>
      <c r="AF41" s="436"/>
      <c r="AG41" s="436"/>
      <c r="AH41" s="436"/>
      <c r="AI41" s="436"/>
      <c r="AJ41" s="436"/>
      <c r="AK41" s="436"/>
      <c r="AL41" s="436"/>
      <c r="AM41" s="436"/>
      <c r="AN41" s="436"/>
      <c r="AO41" s="436"/>
      <c r="AP41" s="436"/>
      <c r="AQ41" s="436"/>
      <c r="AR41" s="436"/>
      <c r="AS41" s="436"/>
      <c r="AT41" s="436"/>
      <c r="AU41" s="436"/>
      <c r="AV41" s="436"/>
      <c r="AW41" s="436"/>
      <c r="AX41" s="436"/>
      <c r="AY41" s="436"/>
      <c r="AZ41" s="436"/>
      <c r="BA41" s="436"/>
      <c r="BB41" s="436"/>
      <c r="BC41" s="436"/>
      <c r="BD41" s="436"/>
      <c r="BE41" s="436"/>
      <c r="BF41" s="436"/>
      <c r="BG41" s="436"/>
      <c r="BH41" s="436"/>
      <c r="BI41" s="436"/>
      <c r="BJ41" s="436"/>
      <c r="BK41" s="436"/>
      <c r="BL41" s="436"/>
      <c r="BM41" s="436"/>
      <c r="BN41" s="436"/>
      <c r="BO41" s="436"/>
      <c r="BP41" s="436"/>
      <c r="BQ41" s="436"/>
      <c r="BR41" s="436"/>
      <c r="BS41" s="436"/>
      <c r="BT41" s="436"/>
      <c r="BU41" s="436"/>
      <c r="BV41" s="436"/>
      <c r="BW41" s="436"/>
      <c r="BX41" s="436"/>
      <c r="BY41" s="436"/>
      <c r="BZ41" s="436"/>
      <c r="CA41" s="436"/>
      <c r="CB41" s="436"/>
      <c r="CC41" s="436"/>
      <c r="CD41" s="436"/>
      <c r="CE41" s="437">
        <v>39</v>
      </c>
      <c r="CF41" s="437">
        <v>39</v>
      </c>
      <c r="CG41" s="437">
        <v>39</v>
      </c>
      <c r="CH41" s="437">
        <v>39</v>
      </c>
      <c r="CI41" s="437">
        <v>39</v>
      </c>
      <c r="CJ41" s="437">
        <v>39</v>
      </c>
      <c r="CK41" s="437">
        <v>39</v>
      </c>
      <c r="CL41" s="437">
        <v>39</v>
      </c>
      <c r="CM41" s="437">
        <v>39</v>
      </c>
      <c r="CN41" s="437">
        <v>39</v>
      </c>
      <c r="CO41" s="437">
        <f t="shared" si="1"/>
        <v>95</v>
      </c>
      <c r="CP41" s="438">
        <f ca="1">ROUND(CO41*'1、课程目标与考核方式'!$H$13/100+IF(ISERROR(VLOOKUP(A41,'4、平时成绩'!$A$2:$H$201,8,FALSE)),0,VLOOKUP(A41,'4、平时成绩'!$A$2:$H$201,8,FALSE)),0)</f>
        <v>70</v>
      </c>
    </row>
    <row r="42" s="32" customFormat="1" spans="1:94">
      <c r="A42" s="433" t="s">
        <v>246</v>
      </c>
      <c r="B42" s="434" t="s">
        <v>247</v>
      </c>
      <c r="C42" s="435">
        <v>19</v>
      </c>
      <c r="D42" s="435">
        <v>19</v>
      </c>
      <c r="E42" s="435">
        <v>19</v>
      </c>
      <c r="F42" s="435">
        <v>19</v>
      </c>
      <c r="G42" s="435">
        <v>19</v>
      </c>
      <c r="H42" s="435"/>
      <c r="I42" s="435"/>
      <c r="J42" s="435"/>
      <c r="K42" s="435"/>
      <c r="L42" s="435"/>
      <c r="M42" s="435"/>
      <c r="N42" s="435"/>
      <c r="O42" s="435"/>
      <c r="P42" s="435"/>
      <c r="Q42" s="435"/>
      <c r="R42" s="435"/>
      <c r="S42" s="435"/>
      <c r="T42" s="435"/>
      <c r="U42" s="435"/>
      <c r="V42" s="435"/>
      <c r="W42" s="436"/>
      <c r="X42" s="436"/>
      <c r="Y42" s="436"/>
      <c r="Z42" s="436"/>
      <c r="AA42" s="436"/>
      <c r="AB42" s="436"/>
      <c r="AC42" s="436"/>
      <c r="AD42" s="436"/>
      <c r="AE42" s="436"/>
      <c r="AF42" s="436"/>
      <c r="AG42" s="436"/>
      <c r="AH42" s="436"/>
      <c r="AI42" s="436"/>
      <c r="AJ42" s="436"/>
      <c r="AK42" s="436"/>
      <c r="AL42" s="436"/>
      <c r="AM42" s="436"/>
      <c r="AN42" s="436"/>
      <c r="AO42" s="436"/>
      <c r="AP42" s="436"/>
      <c r="AQ42" s="436"/>
      <c r="AR42" s="436"/>
      <c r="AS42" s="436"/>
      <c r="AT42" s="436"/>
      <c r="AU42" s="436"/>
      <c r="AV42" s="436"/>
      <c r="AW42" s="436"/>
      <c r="AX42" s="436"/>
      <c r="AY42" s="436"/>
      <c r="AZ42" s="436"/>
      <c r="BA42" s="436"/>
      <c r="BB42" s="436"/>
      <c r="BC42" s="436"/>
      <c r="BD42" s="436"/>
      <c r="BE42" s="436"/>
      <c r="BF42" s="436"/>
      <c r="BG42" s="436"/>
      <c r="BH42" s="436"/>
      <c r="BI42" s="436"/>
      <c r="BJ42" s="436"/>
      <c r="BK42" s="436"/>
      <c r="BL42" s="436"/>
      <c r="BM42" s="436"/>
      <c r="BN42" s="436"/>
      <c r="BO42" s="436"/>
      <c r="BP42" s="436"/>
      <c r="BQ42" s="436"/>
      <c r="BR42" s="436"/>
      <c r="BS42" s="436"/>
      <c r="BT42" s="436"/>
      <c r="BU42" s="436"/>
      <c r="BV42" s="436"/>
      <c r="BW42" s="436"/>
      <c r="BX42" s="436"/>
      <c r="BY42" s="436"/>
      <c r="BZ42" s="436"/>
      <c r="CA42" s="436"/>
      <c r="CB42" s="436"/>
      <c r="CC42" s="436"/>
      <c r="CD42" s="436"/>
      <c r="CE42" s="437">
        <v>40</v>
      </c>
      <c r="CF42" s="437">
        <v>40</v>
      </c>
      <c r="CG42" s="437">
        <v>40</v>
      </c>
      <c r="CH42" s="437">
        <v>40</v>
      </c>
      <c r="CI42" s="437">
        <v>40</v>
      </c>
      <c r="CJ42" s="437">
        <v>40</v>
      </c>
      <c r="CK42" s="437">
        <v>40</v>
      </c>
      <c r="CL42" s="437">
        <v>40</v>
      </c>
      <c r="CM42" s="437">
        <v>40</v>
      </c>
      <c r="CN42" s="437">
        <v>40</v>
      </c>
      <c r="CO42" s="437">
        <f t="shared" si="1"/>
        <v>95</v>
      </c>
      <c r="CP42" s="438">
        <f ca="1">ROUND(CO42*'1、课程目标与考核方式'!$H$13/100+IF(ISERROR(VLOOKUP(A42,'4、平时成绩'!$A$2:$H$201,8,FALSE)),0,VLOOKUP(A42,'4、平时成绩'!$A$2:$H$201,8,FALSE)),0)</f>
        <v>71</v>
      </c>
    </row>
    <row r="43" s="32" customFormat="1" spans="1:94">
      <c r="A43" s="433" t="s">
        <v>248</v>
      </c>
      <c r="B43" s="434" t="s">
        <v>249</v>
      </c>
      <c r="C43" s="435">
        <v>19</v>
      </c>
      <c r="D43" s="435">
        <v>19</v>
      </c>
      <c r="E43" s="435">
        <v>19</v>
      </c>
      <c r="F43" s="435">
        <v>19</v>
      </c>
      <c r="G43" s="435">
        <v>19</v>
      </c>
      <c r="H43" s="435"/>
      <c r="I43" s="435"/>
      <c r="J43" s="435"/>
      <c r="K43" s="435"/>
      <c r="L43" s="435"/>
      <c r="M43" s="435"/>
      <c r="N43" s="435"/>
      <c r="O43" s="435"/>
      <c r="P43" s="435"/>
      <c r="Q43" s="435"/>
      <c r="R43" s="435"/>
      <c r="S43" s="435"/>
      <c r="T43" s="435"/>
      <c r="U43" s="435"/>
      <c r="V43" s="435"/>
      <c r="W43" s="436"/>
      <c r="X43" s="436"/>
      <c r="Y43" s="436"/>
      <c r="Z43" s="436"/>
      <c r="AA43" s="436"/>
      <c r="AB43" s="436"/>
      <c r="AC43" s="436"/>
      <c r="AD43" s="436"/>
      <c r="AE43" s="436"/>
      <c r="AF43" s="436"/>
      <c r="AG43" s="436"/>
      <c r="AH43" s="436"/>
      <c r="AI43" s="436"/>
      <c r="AJ43" s="436"/>
      <c r="AK43" s="436"/>
      <c r="AL43" s="436"/>
      <c r="AM43" s="436"/>
      <c r="AN43" s="436"/>
      <c r="AO43" s="436"/>
      <c r="AP43" s="436"/>
      <c r="AQ43" s="436"/>
      <c r="AR43" s="436"/>
      <c r="AS43" s="436"/>
      <c r="AT43" s="436"/>
      <c r="AU43" s="436"/>
      <c r="AV43" s="436"/>
      <c r="AW43" s="436"/>
      <c r="AX43" s="436"/>
      <c r="AY43" s="436"/>
      <c r="AZ43" s="436"/>
      <c r="BA43" s="436"/>
      <c r="BB43" s="436"/>
      <c r="BC43" s="436"/>
      <c r="BD43" s="436"/>
      <c r="BE43" s="436"/>
      <c r="BF43" s="436"/>
      <c r="BG43" s="436"/>
      <c r="BH43" s="436"/>
      <c r="BI43" s="436"/>
      <c r="BJ43" s="436"/>
      <c r="BK43" s="436"/>
      <c r="BL43" s="436"/>
      <c r="BM43" s="436"/>
      <c r="BN43" s="436"/>
      <c r="BO43" s="436"/>
      <c r="BP43" s="436"/>
      <c r="BQ43" s="436"/>
      <c r="BR43" s="436"/>
      <c r="BS43" s="436"/>
      <c r="BT43" s="436"/>
      <c r="BU43" s="436"/>
      <c r="BV43" s="436"/>
      <c r="BW43" s="436"/>
      <c r="BX43" s="436"/>
      <c r="BY43" s="436"/>
      <c r="BZ43" s="436"/>
      <c r="CA43" s="436"/>
      <c r="CB43" s="436"/>
      <c r="CC43" s="436"/>
      <c r="CD43" s="436"/>
      <c r="CE43" s="437">
        <v>41</v>
      </c>
      <c r="CF43" s="437">
        <v>41</v>
      </c>
      <c r="CG43" s="437">
        <v>41</v>
      </c>
      <c r="CH43" s="437">
        <v>41</v>
      </c>
      <c r="CI43" s="437">
        <v>41</v>
      </c>
      <c r="CJ43" s="437">
        <v>41</v>
      </c>
      <c r="CK43" s="437">
        <v>41</v>
      </c>
      <c r="CL43" s="437">
        <v>41</v>
      </c>
      <c r="CM43" s="437">
        <v>41</v>
      </c>
      <c r="CN43" s="437">
        <v>41</v>
      </c>
      <c r="CO43" s="437">
        <f t="shared" si="1"/>
        <v>95</v>
      </c>
      <c r="CP43" s="438">
        <f ca="1">ROUND(CO43*'1、课程目标与考核方式'!$H$13/100+IF(ISERROR(VLOOKUP(A43,'4、平时成绩'!$A$2:$H$201,8,FALSE)),0,VLOOKUP(A43,'4、平时成绩'!$A$2:$H$201,8,FALSE)),0)</f>
        <v>71</v>
      </c>
    </row>
    <row r="44" s="32" customFormat="1" spans="1:94">
      <c r="A44" s="433" t="s">
        <v>250</v>
      </c>
      <c r="B44" s="434" t="s">
        <v>251</v>
      </c>
      <c r="C44" s="435">
        <v>19</v>
      </c>
      <c r="D44" s="435">
        <v>19</v>
      </c>
      <c r="E44" s="435">
        <v>19</v>
      </c>
      <c r="F44" s="435">
        <v>19</v>
      </c>
      <c r="G44" s="435">
        <v>19</v>
      </c>
      <c r="H44" s="435"/>
      <c r="I44" s="435"/>
      <c r="J44" s="435"/>
      <c r="K44" s="435"/>
      <c r="L44" s="435"/>
      <c r="M44" s="435"/>
      <c r="N44" s="435"/>
      <c r="O44" s="435"/>
      <c r="P44" s="435"/>
      <c r="Q44" s="435"/>
      <c r="R44" s="435"/>
      <c r="S44" s="435"/>
      <c r="T44" s="435"/>
      <c r="U44" s="435"/>
      <c r="V44" s="435"/>
      <c r="W44" s="436"/>
      <c r="X44" s="436"/>
      <c r="Y44" s="436"/>
      <c r="Z44" s="436"/>
      <c r="AA44" s="436"/>
      <c r="AB44" s="436"/>
      <c r="AC44" s="436"/>
      <c r="AD44" s="436"/>
      <c r="AE44" s="436"/>
      <c r="AF44" s="436"/>
      <c r="AG44" s="436"/>
      <c r="AH44" s="436"/>
      <c r="AI44" s="436"/>
      <c r="AJ44" s="436"/>
      <c r="AK44" s="436"/>
      <c r="AL44" s="436"/>
      <c r="AM44" s="436"/>
      <c r="AN44" s="436"/>
      <c r="AO44" s="436"/>
      <c r="AP44" s="436"/>
      <c r="AQ44" s="436"/>
      <c r="AR44" s="436"/>
      <c r="AS44" s="436"/>
      <c r="AT44" s="436"/>
      <c r="AU44" s="436"/>
      <c r="AV44" s="436"/>
      <c r="AW44" s="436"/>
      <c r="AX44" s="436"/>
      <c r="AY44" s="436"/>
      <c r="AZ44" s="436"/>
      <c r="BA44" s="436"/>
      <c r="BB44" s="436"/>
      <c r="BC44" s="436"/>
      <c r="BD44" s="436"/>
      <c r="BE44" s="436"/>
      <c r="BF44" s="436"/>
      <c r="BG44" s="436"/>
      <c r="BH44" s="436"/>
      <c r="BI44" s="436"/>
      <c r="BJ44" s="436"/>
      <c r="BK44" s="436"/>
      <c r="BL44" s="436"/>
      <c r="BM44" s="436"/>
      <c r="BN44" s="436"/>
      <c r="BO44" s="436"/>
      <c r="BP44" s="436"/>
      <c r="BQ44" s="436"/>
      <c r="BR44" s="436"/>
      <c r="BS44" s="436"/>
      <c r="BT44" s="436"/>
      <c r="BU44" s="436"/>
      <c r="BV44" s="436"/>
      <c r="BW44" s="436"/>
      <c r="BX44" s="436"/>
      <c r="BY44" s="436"/>
      <c r="BZ44" s="436"/>
      <c r="CA44" s="436"/>
      <c r="CB44" s="436"/>
      <c r="CC44" s="436"/>
      <c r="CD44" s="436"/>
      <c r="CE44" s="437">
        <v>42</v>
      </c>
      <c r="CF44" s="437">
        <v>42</v>
      </c>
      <c r="CG44" s="437">
        <v>42</v>
      </c>
      <c r="CH44" s="437">
        <v>42</v>
      </c>
      <c r="CI44" s="437">
        <v>42</v>
      </c>
      <c r="CJ44" s="437">
        <v>42</v>
      </c>
      <c r="CK44" s="437">
        <v>42</v>
      </c>
      <c r="CL44" s="437">
        <v>42</v>
      </c>
      <c r="CM44" s="437">
        <v>42</v>
      </c>
      <c r="CN44" s="437">
        <v>42</v>
      </c>
      <c r="CO44" s="437">
        <f t="shared" si="1"/>
        <v>95</v>
      </c>
      <c r="CP44" s="438">
        <f ca="1">ROUND(CO44*'1、课程目标与考核方式'!$H$13/100+IF(ISERROR(VLOOKUP(A44,'4、平时成绩'!$A$2:$H$201,8,FALSE)),0,VLOOKUP(A44,'4、平时成绩'!$A$2:$H$201,8,FALSE)),0)</f>
        <v>65</v>
      </c>
    </row>
    <row r="45" s="32" customFormat="1" spans="1:94">
      <c r="A45" s="433" t="s">
        <v>252</v>
      </c>
      <c r="B45" s="434" t="s">
        <v>253</v>
      </c>
      <c r="C45" s="435">
        <v>19</v>
      </c>
      <c r="D45" s="435">
        <v>19</v>
      </c>
      <c r="E45" s="435">
        <v>19</v>
      </c>
      <c r="F45" s="435">
        <v>19</v>
      </c>
      <c r="G45" s="435">
        <v>19</v>
      </c>
      <c r="H45" s="435"/>
      <c r="I45" s="435"/>
      <c r="J45" s="435"/>
      <c r="K45" s="435"/>
      <c r="L45" s="435"/>
      <c r="M45" s="435"/>
      <c r="N45" s="435"/>
      <c r="O45" s="435"/>
      <c r="P45" s="435"/>
      <c r="Q45" s="435"/>
      <c r="R45" s="435"/>
      <c r="S45" s="435"/>
      <c r="T45" s="435"/>
      <c r="U45" s="435"/>
      <c r="V45" s="435"/>
      <c r="W45" s="436"/>
      <c r="X45" s="436"/>
      <c r="Y45" s="436"/>
      <c r="Z45" s="436"/>
      <c r="AA45" s="436"/>
      <c r="AB45" s="436"/>
      <c r="AC45" s="436"/>
      <c r="AD45" s="436"/>
      <c r="AE45" s="436"/>
      <c r="AF45" s="436"/>
      <c r="AG45" s="436"/>
      <c r="AH45" s="436"/>
      <c r="AI45" s="436"/>
      <c r="AJ45" s="436"/>
      <c r="AK45" s="436"/>
      <c r="AL45" s="436"/>
      <c r="AM45" s="436"/>
      <c r="AN45" s="436"/>
      <c r="AO45" s="436"/>
      <c r="AP45" s="436"/>
      <c r="AQ45" s="436"/>
      <c r="AR45" s="436"/>
      <c r="AS45" s="436"/>
      <c r="AT45" s="436"/>
      <c r="AU45" s="436"/>
      <c r="AV45" s="436"/>
      <c r="AW45" s="436"/>
      <c r="AX45" s="436"/>
      <c r="AY45" s="436"/>
      <c r="AZ45" s="436"/>
      <c r="BA45" s="436"/>
      <c r="BB45" s="436"/>
      <c r="BC45" s="436"/>
      <c r="BD45" s="436"/>
      <c r="BE45" s="436"/>
      <c r="BF45" s="436"/>
      <c r="BG45" s="436"/>
      <c r="BH45" s="436"/>
      <c r="BI45" s="436"/>
      <c r="BJ45" s="436"/>
      <c r="BK45" s="436"/>
      <c r="BL45" s="436"/>
      <c r="BM45" s="436"/>
      <c r="BN45" s="436"/>
      <c r="BO45" s="436"/>
      <c r="BP45" s="436"/>
      <c r="BQ45" s="436"/>
      <c r="BR45" s="436"/>
      <c r="BS45" s="436"/>
      <c r="BT45" s="436"/>
      <c r="BU45" s="436"/>
      <c r="BV45" s="436"/>
      <c r="BW45" s="436"/>
      <c r="BX45" s="436"/>
      <c r="BY45" s="436"/>
      <c r="BZ45" s="436"/>
      <c r="CA45" s="436"/>
      <c r="CB45" s="436"/>
      <c r="CC45" s="436"/>
      <c r="CD45" s="436"/>
      <c r="CE45" s="437">
        <v>43</v>
      </c>
      <c r="CF45" s="437">
        <v>43</v>
      </c>
      <c r="CG45" s="437">
        <v>43</v>
      </c>
      <c r="CH45" s="437">
        <v>43</v>
      </c>
      <c r="CI45" s="437">
        <v>43</v>
      </c>
      <c r="CJ45" s="437">
        <v>43</v>
      </c>
      <c r="CK45" s="437">
        <v>43</v>
      </c>
      <c r="CL45" s="437">
        <v>43</v>
      </c>
      <c r="CM45" s="437">
        <v>43</v>
      </c>
      <c r="CN45" s="437">
        <v>43</v>
      </c>
      <c r="CO45" s="437">
        <f t="shared" si="1"/>
        <v>95</v>
      </c>
      <c r="CP45" s="438">
        <f ca="1">ROUND(CO45*'1、课程目标与考核方式'!$H$13/100+IF(ISERROR(VLOOKUP(A45,'4、平时成绩'!$A$2:$H$201,8,FALSE)),0,VLOOKUP(A45,'4、平时成绩'!$A$2:$H$201,8,FALSE)),0)</f>
        <v>68</v>
      </c>
    </row>
    <row r="46" s="32" customFormat="1" spans="1:94">
      <c r="A46" s="433" t="s">
        <v>254</v>
      </c>
      <c r="B46" s="434" t="s">
        <v>255</v>
      </c>
      <c r="C46" s="435">
        <v>19</v>
      </c>
      <c r="D46" s="435">
        <v>19</v>
      </c>
      <c r="E46" s="435">
        <v>19</v>
      </c>
      <c r="F46" s="435">
        <v>19</v>
      </c>
      <c r="G46" s="435">
        <v>19</v>
      </c>
      <c r="H46" s="435"/>
      <c r="I46" s="435"/>
      <c r="J46" s="435"/>
      <c r="K46" s="435"/>
      <c r="L46" s="435"/>
      <c r="M46" s="435"/>
      <c r="N46" s="435"/>
      <c r="O46" s="435"/>
      <c r="P46" s="435"/>
      <c r="Q46" s="435"/>
      <c r="R46" s="435"/>
      <c r="S46" s="435"/>
      <c r="T46" s="435"/>
      <c r="U46" s="435"/>
      <c r="V46" s="435"/>
      <c r="W46" s="436"/>
      <c r="X46" s="436"/>
      <c r="Y46" s="436"/>
      <c r="Z46" s="436"/>
      <c r="AA46" s="436"/>
      <c r="AB46" s="436"/>
      <c r="AC46" s="436"/>
      <c r="AD46" s="436"/>
      <c r="AE46" s="436"/>
      <c r="AF46" s="436"/>
      <c r="AG46" s="436"/>
      <c r="AH46" s="436"/>
      <c r="AI46" s="436"/>
      <c r="AJ46" s="436"/>
      <c r="AK46" s="436"/>
      <c r="AL46" s="436"/>
      <c r="AM46" s="436"/>
      <c r="AN46" s="436"/>
      <c r="AO46" s="436"/>
      <c r="AP46" s="436"/>
      <c r="AQ46" s="436"/>
      <c r="AR46" s="436"/>
      <c r="AS46" s="436"/>
      <c r="AT46" s="436"/>
      <c r="AU46" s="436"/>
      <c r="AV46" s="436"/>
      <c r="AW46" s="436"/>
      <c r="AX46" s="436"/>
      <c r="AY46" s="436"/>
      <c r="AZ46" s="436"/>
      <c r="BA46" s="436"/>
      <c r="BB46" s="436"/>
      <c r="BC46" s="436"/>
      <c r="BD46" s="436"/>
      <c r="BE46" s="436"/>
      <c r="BF46" s="436"/>
      <c r="BG46" s="436"/>
      <c r="BH46" s="436"/>
      <c r="BI46" s="436"/>
      <c r="BJ46" s="436"/>
      <c r="BK46" s="436"/>
      <c r="BL46" s="436"/>
      <c r="BM46" s="436"/>
      <c r="BN46" s="436"/>
      <c r="BO46" s="436"/>
      <c r="BP46" s="436"/>
      <c r="BQ46" s="436"/>
      <c r="BR46" s="436"/>
      <c r="BS46" s="436"/>
      <c r="BT46" s="436"/>
      <c r="BU46" s="436"/>
      <c r="BV46" s="436"/>
      <c r="BW46" s="436"/>
      <c r="BX46" s="436"/>
      <c r="BY46" s="436"/>
      <c r="BZ46" s="436"/>
      <c r="CA46" s="436"/>
      <c r="CB46" s="436"/>
      <c r="CC46" s="436"/>
      <c r="CD46" s="436"/>
      <c r="CE46" s="437">
        <v>44</v>
      </c>
      <c r="CF46" s="437">
        <v>44</v>
      </c>
      <c r="CG46" s="437">
        <v>44</v>
      </c>
      <c r="CH46" s="437">
        <v>44</v>
      </c>
      <c r="CI46" s="437">
        <v>44</v>
      </c>
      <c r="CJ46" s="437">
        <v>44</v>
      </c>
      <c r="CK46" s="437">
        <v>44</v>
      </c>
      <c r="CL46" s="437">
        <v>44</v>
      </c>
      <c r="CM46" s="437">
        <v>44</v>
      </c>
      <c r="CN46" s="437">
        <v>44</v>
      </c>
      <c r="CO46" s="437">
        <f t="shared" si="1"/>
        <v>95</v>
      </c>
      <c r="CP46" s="438">
        <f ca="1">ROUND(CO46*'1、课程目标与考核方式'!$H$13/100+IF(ISERROR(VLOOKUP(A46,'4、平时成绩'!$A$2:$H$201,8,FALSE)),0,VLOOKUP(A46,'4、平时成绩'!$A$2:$H$201,8,FALSE)),0)</f>
        <v>68</v>
      </c>
    </row>
    <row r="47" s="32" customFormat="1" spans="1:94">
      <c r="A47" s="433" t="s">
        <v>256</v>
      </c>
      <c r="B47" s="434" t="s">
        <v>257</v>
      </c>
      <c r="C47" s="435">
        <v>19</v>
      </c>
      <c r="D47" s="435">
        <v>19</v>
      </c>
      <c r="E47" s="435">
        <v>19</v>
      </c>
      <c r="F47" s="435">
        <v>19</v>
      </c>
      <c r="G47" s="435">
        <v>19</v>
      </c>
      <c r="H47" s="435"/>
      <c r="I47" s="435"/>
      <c r="J47" s="435"/>
      <c r="K47" s="435"/>
      <c r="L47" s="435"/>
      <c r="M47" s="435"/>
      <c r="N47" s="435"/>
      <c r="O47" s="435"/>
      <c r="P47" s="435"/>
      <c r="Q47" s="435"/>
      <c r="R47" s="435"/>
      <c r="S47" s="435"/>
      <c r="T47" s="435"/>
      <c r="U47" s="435"/>
      <c r="V47" s="435"/>
      <c r="W47" s="436"/>
      <c r="X47" s="436"/>
      <c r="Y47" s="436"/>
      <c r="Z47" s="436"/>
      <c r="AA47" s="436"/>
      <c r="AB47" s="436"/>
      <c r="AC47" s="436"/>
      <c r="AD47" s="436"/>
      <c r="AE47" s="436"/>
      <c r="AF47" s="436"/>
      <c r="AG47" s="436"/>
      <c r="AH47" s="436"/>
      <c r="AI47" s="436"/>
      <c r="AJ47" s="436"/>
      <c r="AK47" s="436"/>
      <c r="AL47" s="436"/>
      <c r="AM47" s="436"/>
      <c r="AN47" s="436"/>
      <c r="AO47" s="436"/>
      <c r="AP47" s="436"/>
      <c r="AQ47" s="436"/>
      <c r="AR47" s="436"/>
      <c r="AS47" s="436"/>
      <c r="AT47" s="436"/>
      <c r="AU47" s="436"/>
      <c r="AV47" s="436"/>
      <c r="AW47" s="436"/>
      <c r="AX47" s="436"/>
      <c r="AY47" s="436"/>
      <c r="AZ47" s="436"/>
      <c r="BA47" s="436"/>
      <c r="BB47" s="436"/>
      <c r="BC47" s="436"/>
      <c r="BD47" s="436"/>
      <c r="BE47" s="436"/>
      <c r="BF47" s="436"/>
      <c r="BG47" s="436"/>
      <c r="BH47" s="436"/>
      <c r="BI47" s="436"/>
      <c r="BJ47" s="436"/>
      <c r="BK47" s="436"/>
      <c r="BL47" s="436"/>
      <c r="BM47" s="436"/>
      <c r="BN47" s="436"/>
      <c r="BO47" s="436"/>
      <c r="BP47" s="436"/>
      <c r="BQ47" s="436"/>
      <c r="BR47" s="436"/>
      <c r="BS47" s="436"/>
      <c r="BT47" s="436"/>
      <c r="BU47" s="436"/>
      <c r="BV47" s="436"/>
      <c r="BW47" s="436"/>
      <c r="BX47" s="436"/>
      <c r="BY47" s="436"/>
      <c r="BZ47" s="436"/>
      <c r="CA47" s="436"/>
      <c r="CB47" s="436"/>
      <c r="CC47" s="436"/>
      <c r="CD47" s="436"/>
      <c r="CE47" s="437">
        <v>45</v>
      </c>
      <c r="CF47" s="437">
        <v>45</v>
      </c>
      <c r="CG47" s="437">
        <v>45</v>
      </c>
      <c r="CH47" s="437">
        <v>45</v>
      </c>
      <c r="CI47" s="437">
        <v>45</v>
      </c>
      <c r="CJ47" s="437">
        <v>45</v>
      </c>
      <c r="CK47" s="437">
        <v>45</v>
      </c>
      <c r="CL47" s="437">
        <v>45</v>
      </c>
      <c r="CM47" s="437">
        <v>45</v>
      </c>
      <c r="CN47" s="437">
        <v>45</v>
      </c>
      <c r="CO47" s="437">
        <f t="shared" si="1"/>
        <v>95</v>
      </c>
      <c r="CP47" s="438">
        <f ca="1">ROUND(CO47*'1、课程目标与考核方式'!$H$13/100+IF(ISERROR(VLOOKUP(A47,'4、平时成绩'!$A$2:$H$201,8,FALSE)),0,VLOOKUP(A47,'4、平时成绩'!$A$2:$H$201,8,FALSE)),0)</f>
        <v>66</v>
      </c>
    </row>
    <row r="48" s="32" customFormat="1" spans="1:94">
      <c r="A48" s="433" t="s">
        <v>258</v>
      </c>
      <c r="B48" s="434" t="s">
        <v>259</v>
      </c>
      <c r="C48" s="435">
        <v>19</v>
      </c>
      <c r="D48" s="435">
        <v>19</v>
      </c>
      <c r="E48" s="435">
        <v>19</v>
      </c>
      <c r="F48" s="435">
        <v>19</v>
      </c>
      <c r="G48" s="435">
        <v>19</v>
      </c>
      <c r="H48" s="435"/>
      <c r="I48" s="435"/>
      <c r="J48" s="435"/>
      <c r="K48" s="435"/>
      <c r="L48" s="435"/>
      <c r="M48" s="435"/>
      <c r="N48" s="435"/>
      <c r="O48" s="435"/>
      <c r="P48" s="435"/>
      <c r="Q48" s="435"/>
      <c r="R48" s="435"/>
      <c r="S48" s="435"/>
      <c r="T48" s="435"/>
      <c r="U48" s="435"/>
      <c r="V48" s="435"/>
      <c r="W48" s="436"/>
      <c r="X48" s="436"/>
      <c r="Y48" s="436"/>
      <c r="Z48" s="436"/>
      <c r="AA48" s="436"/>
      <c r="AB48" s="436"/>
      <c r="AC48" s="436"/>
      <c r="AD48" s="436"/>
      <c r="AE48" s="436"/>
      <c r="AF48" s="436"/>
      <c r="AG48" s="436"/>
      <c r="AH48" s="436"/>
      <c r="AI48" s="436"/>
      <c r="AJ48" s="436"/>
      <c r="AK48" s="436"/>
      <c r="AL48" s="436"/>
      <c r="AM48" s="436"/>
      <c r="AN48" s="436"/>
      <c r="AO48" s="436"/>
      <c r="AP48" s="436"/>
      <c r="AQ48" s="436"/>
      <c r="AR48" s="436"/>
      <c r="AS48" s="436"/>
      <c r="AT48" s="436"/>
      <c r="AU48" s="436"/>
      <c r="AV48" s="436"/>
      <c r="AW48" s="436"/>
      <c r="AX48" s="436"/>
      <c r="AY48" s="436"/>
      <c r="AZ48" s="436"/>
      <c r="BA48" s="436"/>
      <c r="BB48" s="436"/>
      <c r="BC48" s="436"/>
      <c r="BD48" s="436"/>
      <c r="BE48" s="436"/>
      <c r="BF48" s="436"/>
      <c r="BG48" s="436"/>
      <c r="BH48" s="436"/>
      <c r="BI48" s="436"/>
      <c r="BJ48" s="436"/>
      <c r="BK48" s="436"/>
      <c r="BL48" s="436"/>
      <c r="BM48" s="436"/>
      <c r="BN48" s="436"/>
      <c r="BO48" s="436"/>
      <c r="BP48" s="436"/>
      <c r="BQ48" s="436"/>
      <c r="BR48" s="436"/>
      <c r="BS48" s="436"/>
      <c r="BT48" s="436"/>
      <c r="BU48" s="436"/>
      <c r="BV48" s="436"/>
      <c r="BW48" s="436"/>
      <c r="BX48" s="436"/>
      <c r="BY48" s="436"/>
      <c r="BZ48" s="436"/>
      <c r="CA48" s="436"/>
      <c r="CB48" s="436"/>
      <c r="CC48" s="436"/>
      <c r="CD48" s="436"/>
      <c r="CE48" s="437">
        <v>46</v>
      </c>
      <c r="CF48" s="437">
        <v>46</v>
      </c>
      <c r="CG48" s="437">
        <v>46</v>
      </c>
      <c r="CH48" s="437">
        <v>46</v>
      </c>
      <c r="CI48" s="437">
        <v>46</v>
      </c>
      <c r="CJ48" s="437">
        <v>46</v>
      </c>
      <c r="CK48" s="437">
        <v>46</v>
      </c>
      <c r="CL48" s="437">
        <v>46</v>
      </c>
      <c r="CM48" s="437">
        <v>46</v>
      </c>
      <c r="CN48" s="437">
        <v>46</v>
      </c>
      <c r="CO48" s="437">
        <f t="shared" si="1"/>
        <v>95</v>
      </c>
      <c r="CP48" s="438">
        <f ca="1">ROUND(CO48*'1、课程目标与考核方式'!$H$13/100+IF(ISERROR(VLOOKUP(A48,'4、平时成绩'!$A$2:$H$201,8,FALSE)),0,VLOOKUP(A48,'4、平时成绩'!$A$2:$H$201,8,FALSE)),0)</f>
        <v>69</v>
      </c>
    </row>
    <row r="49" s="32" customFormat="1" spans="1:94">
      <c r="A49" s="433" t="s">
        <v>260</v>
      </c>
      <c r="B49" s="434" t="s">
        <v>261</v>
      </c>
      <c r="C49" s="435">
        <v>19</v>
      </c>
      <c r="D49" s="435">
        <v>19</v>
      </c>
      <c r="E49" s="435">
        <v>19</v>
      </c>
      <c r="F49" s="435">
        <v>19</v>
      </c>
      <c r="G49" s="435">
        <v>19</v>
      </c>
      <c r="H49" s="435"/>
      <c r="I49" s="435"/>
      <c r="J49" s="435"/>
      <c r="K49" s="435"/>
      <c r="L49" s="435"/>
      <c r="M49" s="435"/>
      <c r="N49" s="435"/>
      <c r="O49" s="435"/>
      <c r="P49" s="435"/>
      <c r="Q49" s="435"/>
      <c r="R49" s="435"/>
      <c r="S49" s="435"/>
      <c r="T49" s="435"/>
      <c r="U49" s="435"/>
      <c r="V49" s="435"/>
      <c r="W49" s="436"/>
      <c r="X49" s="436"/>
      <c r="Y49" s="436"/>
      <c r="Z49" s="436"/>
      <c r="AA49" s="436"/>
      <c r="AB49" s="436"/>
      <c r="AC49" s="436"/>
      <c r="AD49" s="436"/>
      <c r="AE49" s="436"/>
      <c r="AF49" s="436"/>
      <c r="AG49" s="436"/>
      <c r="AH49" s="436"/>
      <c r="AI49" s="436"/>
      <c r="AJ49" s="436"/>
      <c r="AK49" s="436"/>
      <c r="AL49" s="436"/>
      <c r="AM49" s="436"/>
      <c r="AN49" s="436"/>
      <c r="AO49" s="436"/>
      <c r="AP49" s="436"/>
      <c r="AQ49" s="436"/>
      <c r="AR49" s="436"/>
      <c r="AS49" s="436"/>
      <c r="AT49" s="436"/>
      <c r="AU49" s="436"/>
      <c r="AV49" s="436"/>
      <c r="AW49" s="436"/>
      <c r="AX49" s="436"/>
      <c r="AY49" s="436"/>
      <c r="AZ49" s="436"/>
      <c r="BA49" s="436"/>
      <c r="BB49" s="436"/>
      <c r="BC49" s="436"/>
      <c r="BD49" s="436"/>
      <c r="BE49" s="436"/>
      <c r="BF49" s="436"/>
      <c r="BG49" s="436"/>
      <c r="BH49" s="436"/>
      <c r="BI49" s="436"/>
      <c r="BJ49" s="436"/>
      <c r="BK49" s="436"/>
      <c r="BL49" s="436"/>
      <c r="BM49" s="436"/>
      <c r="BN49" s="436"/>
      <c r="BO49" s="436"/>
      <c r="BP49" s="436"/>
      <c r="BQ49" s="436"/>
      <c r="BR49" s="436"/>
      <c r="BS49" s="436"/>
      <c r="BT49" s="436"/>
      <c r="BU49" s="436"/>
      <c r="BV49" s="436"/>
      <c r="BW49" s="436"/>
      <c r="BX49" s="436"/>
      <c r="BY49" s="436"/>
      <c r="BZ49" s="436"/>
      <c r="CA49" s="436"/>
      <c r="CB49" s="436"/>
      <c r="CC49" s="436"/>
      <c r="CD49" s="436"/>
      <c r="CE49" s="437">
        <v>47</v>
      </c>
      <c r="CF49" s="437">
        <v>47</v>
      </c>
      <c r="CG49" s="437">
        <v>47</v>
      </c>
      <c r="CH49" s="437">
        <v>47</v>
      </c>
      <c r="CI49" s="437">
        <v>47</v>
      </c>
      <c r="CJ49" s="437">
        <v>47</v>
      </c>
      <c r="CK49" s="437">
        <v>47</v>
      </c>
      <c r="CL49" s="437">
        <v>47</v>
      </c>
      <c r="CM49" s="437">
        <v>47</v>
      </c>
      <c r="CN49" s="437">
        <v>47</v>
      </c>
      <c r="CO49" s="437">
        <f t="shared" si="1"/>
        <v>95</v>
      </c>
      <c r="CP49" s="438">
        <f ca="1">ROUND(CO49*'1、课程目标与考核方式'!$H$13/100+IF(ISERROR(VLOOKUP(A49,'4、平时成绩'!$A$2:$H$201,8,FALSE)),0,VLOOKUP(A49,'4、平时成绩'!$A$2:$H$201,8,FALSE)),0)</f>
        <v>68</v>
      </c>
    </row>
    <row r="50" s="32" customFormat="1" spans="1:94">
      <c r="A50" s="433" t="s">
        <v>262</v>
      </c>
      <c r="B50" s="434" t="s">
        <v>263</v>
      </c>
      <c r="C50" s="435">
        <v>19</v>
      </c>
      <c r="D50" s="435">
        <v>19</v>
      </c>
      <c r="E50" s="435">
        <v>19</v>
      </c>
      <c r="F50" s="435">
        <v>19</v>
      </c>
      <c r="G50" s="435">
        <v>19</v>
      </c>
      <c r="H50" s="435"/>
      <c r="I50" s="435"/>
      <c r="J50" s="435"/>
      <c r="K50" s="435"/>
      <c r="L50" s="435"/>
      <c r="M50" s="435"/>
      <c r="N50" s="435"/>
      <c r="O50" s="435"/>
      <c r="P50" s="435"/>
      <c r="Q50" s="435"/>
      <c r="R50" s="435"/>
      <c r="S50" s="435"/>
      <c r="T50" s="435"/>
      <c r="U50" s="435"/>
      <c r="V50" s="435"/>
      <c r="W50" s="436"/>
      <c r="X50" s="436"/>
      <c r="Y50" s="436"/>
      <c r="Z50" s="436"/>
      <c r="AA50" s="436"/>
      <c r="AB50" s="436"/>
      <c r="AC50" s="436"/>
      <c r="AD50" s="436"/>
      <c r="AE50" s="436"/>
      <c r="AF50" s="436"/>
      <c r="AG50" s="436"/>
      <c r="AH50" s="436"/>
      <c r="AI50" s="436"/>
      <c r="AJ50" s="436"/>
      <c r="AK50" s="436"/>
      <c r="AL50" s="436"/>
      <c r="AM50" s="436"/>
      <c r="AN50" s="436"/>
      <c r="AO50" s="436"/>
      <c r="AP50" s="436"/>
      <c r="AQ50" s="436"/>
      <c r="AR50" s="436"/>
      <c r="AS50" s="436"/>
      <c r="AT50" s="436"/>
      <c r="AU50" s="436"/>
      <c r="AV50" s="436"/>
      <c r="AW50" s="436"/>
      <c r="AX50" s="436"/>
      <c r="AY50" s="436"/>
      <c r="AZ50" s="436"/>
      <c r="BA50" s="436"/>
      <c r="BB50" s="436"/>
      <c r="BC50" s="436"/>
      <c r="BD50" s="436"/>
      <c r="BE50" s="436"/>
      <c r="BF50" s="436"/>
      <c r="BG50" s="436"/>
      <c r="BH50" s="436"/>
      <c r="BI50" s="436"/>
      <c r="BJ50" s="436"/>
      <c r="BK50" s="436"/>
      <c r="BL50" s="436"/>
      <c r="BM50" s="436"/>
      <c r="BN50" s="436"/>
      <c r="BO50" s="436"/>
      <c r="BP50" s="436"/>
      <c r="BQ50" s="436"/>
      <c r="BR50" s="436"/>
      <c r="BS50" s="436"/>
      <c r="BT50" s="436"/>
      <c r="BU50" s="436"/>
      <c r="BV50" s="436"/>
      <c r="BW50" s="436"/>
      <c r="BX50" s="436"/>
      <c r="BY50" s="436"/>
      <c r="BZ50" s="436"/>
      <c r="CA50" s="436"/>
      <c r="CB50" s="436"/>
      <c r="CC50" s="436"/>
      <c r="CD50" s="436"/>
      <c r="CE50" s="437">
        <v>48</v>
      </c>
      <c r="CF50" s="437">
        <v>48</v>
      </c>
      <c r="CG50" s="437">
        <v>48</v>
      </c>
      <c r="CH50" s="437">
        <v>48</v>
      </c>
      <c r="CI50" s="437">
        <v>48</v>
      </c>
      <c r="CJ50" s="437">
        <v>48</v>
      </c>
      <c r="CK50" s="437">
        <v>48</v>
      </c>
      <c r="CL50" s="437">
        <v>48</v>
      </c>
      <c r="CM50" s="437">
        <v>48</v>
      </c>
      <c r="CN50" s="437">
        <v>48</v>
      </c>
      <c r="CO50" s="437">
        <f t="shared" si="1"/>
        <v>95</v>
      </c>
      <c r="CP50" s="438">
        <f ca="1">ROUND(CO50*'1、课程目标与考核方式'!$H$13/100+IF(ISERROR(VLOOKUP(A50,'4、平时成绩'!$A$2:$H$201,8,FALSE)),0,VLOOKUP(A50,'4、平时成绩'!$A$2:$H$201,8,FALSE)),0)</f>
        <v>72</v>
      </c>
    </row>
    <row r="51" s="32" customFormat="1" spans="1:94">
      <c r="A51" s="433" t="s">
        <v>264</v>
      </c>
      <c r="B51" s="434" t="s">
        <v>265</v>
      </c>
      <c r="C51" s="435">
        <v>19</v>
      </c>
      <c r="D51" s="435">
        <v>19</v>
      </c>
      <c r="E51" s="435">
        <v>19</v>
      </c>
      <c r="F51" s="435">
        <v>19</v>
      </c>
      <c r="G51" s="435">
        <v>19</v>
      </c>
      <c r="H51" s="435"/>
      <c r="I51" s="435"/>
      <c r="J51" s="435"/>
      <c r="K51" s="435"/>
      <c r="L51" s="435"/>
      <c r="M51" s="435"/>
      <c r="N51" s="435"/>
      <c r="O51" s="435"/>
      <c r="P51" s="435"/>
      <c r="Q51" s="435"/>
      <c r="R51" s="435"/>
      <c r="S51" s="435"/>
      <c r="T51" s="435"/>
      <c r="U51" s="435"/>
      <c r="V51" s="435"/>
      <c r="W51" s="436"/>
      <c r="X51" s="436"/>
      <c r="Y51" s="436"/>
      <c r="Z51" s="436"/>
      <c r="AA51" s="436"/>
      <c r="AB51" s="436"/>
      <c r="AC51" s="436"/>
      <c r="AD51" s="436"/>
      <c r="AE51" s="436"/>
      <c r="AF51" s="436"/>
      <c r="AG51" s="436"/>
      <c r="AH51" s="436"/>
      <c r="AI51" s="436"/>
      <c r="AJ51" s="436"/>
      <c r="AK51" s="436"/>
      <c r="AL51" s="436"/>
      <c r="AM51" s="436"/>
      <c r="AN51" s="436"/>
      <c r="AO51" s="436"/>
      <c r="AP51" s="436"/>
      <c r="AQ51" s="436"/>
      <c r="AR51" s="436"/>
      <c r="AS51" s="436"/>
      <c r="AT51" s="436"/>
      <c r="AU51" s="436"/>
      <c r="AV51" s="436"/>
      <c r="AW51" s="436"/>
      <c r="AX51" s="436"/>
      <c r="AY51" s="436"/>
      <c r="AZ51" s="436"/>
      <c r="BA51" s="436"/>
      <c r="BB51" s="436"/>
      <c r="BC51" s="436"/>
      <c r="BD51" s="436"/>
      <c r="BE51" s="436"/>
      <c r="BF51" s="436"/>
      <c r="BG51" s="436"/>
      <c r="BH51" s="436"/>
      <c r="BI51" s="436"/>
      <c r="BJ51" s="436"/>
      <c r="BK51" s="436"/>
      <c r="BL51" s="436"/>
      <c r="BM51" s="436"/>
      <c r="BN51" s="436"/>
      <c r="BO51" s="436"/>
      <c r="BP51" s="436"/>
      <c r="BQ51" s="436"/>
      <c r="BR51" s="436"/>
      <c r="BS51" s="436"/>
      <c r="BT51" s="436"/>
      <c r="BU51" s="436"/>
      <c r="BV51" s="436"/>
      <c r="BW51" s="436"/>
      <c r="BX51" s="436"/>
      <c r="BY51" s="436"/>
      <c r="BZ51" s="436"/>
      <c r="CA51" s="436"/>
      <c r="CB51" s="436"/>
      <c r="CC51" s="436"/>
      <c r="CD51" s="436"/>
      <c r="CE51" s="437">
        <v>49</v>
      </c>
      <c r="CF51" s="437">
        <v>49</v>
      </c>
      <c r="CG51" s="437">
        <v>49</v>
      </c>
      <c r="CH51" s="437">
        <v>49</v>
      </c>
      <c r="CI51" s="437">
        <v>49</v>
      </c>
      <c r="CJ51" s="437">
        <v>49</v>
      </c>
      <c r="CK51" s="437">
        <v>49</v>
      </c>
      <c r="CL51" s="437">
        <v>49</v>
      </c>
      <c r="CM51" s="437">
        <v>49</v>
      </c>
      <c r="CN51" s="437">
        <v>49</v>
      </c>
      <c r="CO51" s="437">
        <f t="shared" si="1"/>
        <v>95</v>
      </c>
      <c r="CP51" s="438">
        <f ca="1">ROUND(CO51*'1、课程目标与考核方式'!$H$13/100+IF(ISERROR(VLOOKUP(A51,'4、平时成绩'!$A$2:$H$201,8,FALSE)),0,VLOOKUP(A51,'4、平时成绩'!$A$2:$H$201,8,FALSE)),0)</f>
        <v>73</v>
      </c>
    </row>
    <row r="52" s="32" customFormat="1" spans="1:94">
      <c r="A52" s="433" t="s">
        <v>266</v>
      </c>
      <c r="B52" s="434" t="s">
        <v>267</v>
      </c>
      <c r="C52" s="435">
        <v>19</v>
      </c>
      <c r="D52" s="435">
        <v>19</v>
      </c>
      <c r="E52" s="435">
        <v>19</v>
      </c>
      <c r="F52" s="435">
        <v>19</v>
      </c>
      <c r="G52" s="435">
        <v>19</v>
      </c>
      <c r="H52" s="435"/>
      <c r="I52" s="435"/>
      <c r="J52" s="435"/>
      <c r="K52" s="435"/>
      <c r="L52" s="435"/>
      <c r="M52" s="435"/>
      <c r="N52" s="435"/>
      <c r="O52" s="435"/>
      <c r="P52" s="435"/>
      <c r="Q52" s="435"/>
      <c r="R52" s="435"/>
      <c r="S52" s="435"/>
      <c r="T52" s="435"/>
      <c r="U52" s="435"/>
      <c r="V52" s="435"/>
      <c r="W52" s="436"/>
      <c r="X52" s="436"/>
      <c r="Y52" s="436"/>
      <c r="Z52" s="436"/>
      <c r="AA52" s="436"/>
      <c r="AB52" s="436"/>
      <c r="AC52" s="436"/>
      <c r="AD52" s="436"/>
      <c r="AE52" s="436"/>
      <c r="AF52" s="436"/>
      <c r="AG52" s="436"/>
      <c r="AH52" s="436"/>
      <c r="AI52" s="436"/>
      <c r="AJ52" s="436"/>
      <c r="AK52" s="436"/>
      <c r="AL52" s="436"/>
      <c r="AM52" s="436"/>
      <c r="AN52" s="436"/>
      <c r="AO52" s="436"/>
      <c r="AP52" s="436"/>
      <c r="AQ52" s="436"/>
      <c r="AR52" s="436"/>
      <c r="AS52" s="436"/>
      <c r="AT52" s="436"/>
      <c r="AU52" s="436"/>
      <c r="AV52" s="436"/>
      <c r="AW52" s="436"/>
      <c r="AX52" s="436"/>
      <c r="AY52" s="436"/>
      <c r="AZ52" s="436"/>
      <c r="BA52" s="436"/>
      <c r="BB52" s="436"/>
      <c r="BC52" s="436"/>
      <c r="BD52" s="436"/>
      <c r="BE52" s="436"/>
      <c r="BF52" s="436"/>
      <c r="BG52" s="436"/>
      <c r="BH52" s="436"/>
      <c r="BI52" s="436"/>
      <c r="BJ52" s="436"/>
      <c r="BK52" s="436"/>
      <c r="BL52" s="436"/>
      <c r="BM52" s="436"/>
      <c r="BN52" s="436"/>
      <c r="BO52" s="436"/>
      <c r="BP52" s="436"/>
      <c r="BQ52" s="436"/>
      <c r="BR52" s="436"/>
      <c r="BS52" s="436"/>
      <c r="BT52" s="436"/>
      <c r="BU52" s="436"/>
      <c r="BV52" s="436"/>
      <c r="BW52" s="436"/>
      <c r="BX52" s="436"/>
      <c r="BY52" s="436"/>
      <c r="BZ52" s="436"/>
      <c r="CA52" s="436"/>
      <c r="CB52" s="436"/>
      <c r="CC52" s="436"/>
      <c r="CD52" s="436"/>
      <c r="CE52" s="437">
        <v>50</v>
      </c>
      <c r="CF52" s="437">
        <v>50</v>
      </c>
      <c r="CG52" s="437">
        <v>50</v>
      </c>
      <c r="CH52" s="437">
        <v>50</v>
      </c>
      <c r="CI52" s="437">
        <v>50</v>
      </c>
      <c r="CJ52" s="437">
        <v>50</v>
      </c>
      <c r="CK52" s="437">
        <v>50</v>
      </c>
      <c r="CL52" s="437">
        <v>50</v>
      </c>
      <c r="CM52" s="437">
        <v>50</v>
      </c>
      <c r="CN52" s="437">
        <v>50</v>
      </c>
      <c r="CO52" s="437">
        <f t="shared" si="1"/>
        <v>95</v>
      </c>
      <c r="CP52" s="438">
        <f ca="1">ROUND(CO52*'1、课程目标与考核方式'!$H$13/100+IF(ISERROR(VLOOKUP(A52,'4、平时成绩'!$A$2:$H$201,8,FALSE)),0,VLOOKUP(A52,'4、平时成绩'!$A$2:$H$201,8,FALSE)),0)</f>
        <v>73</v>
      </c>
    </row>
    <row r="53" s="32" customFormat="1" spans="1:94">
      <c r="A53" s="433" t="s">
        <v>268</v>
      </c>
      <c r="B53" s="434" t="s">
        <v>269</v>
      </c>
      <c r="C53" s="435">
        <v>19</v>
      </c>
      <c r="D53" s="435">
        <v>19</v>
      </c>
      <c r="E53" s="435">
        <v>19</v>
      </c>
      <c r="F53" s="435">
        <v>19</v>
      </c>
      <c r="G53" s="435">
        <v>19</v>
      </c>
      <c r="H53" s="435"/>
      <c r="I53" s="435"/>
      <c r="J53" s="435"/>
      <c r="K53" s="435"/>
      <c r="L53" s="435"/>
      <c r="M53" s="435"/>
      <c r="N53" s="435"/>
      <c r="O53" s="435"/>
      <c r="P53" s="435"/>
      <c r="Q53" s="435"/>
      <c r="R53" s="435"/>
      <c r="S53" s="435"/>
      <c r="T53" s="435"/>
      <c r="U53" s="435"/>
      <c r="V53" s="435"/>
      <c r="W53" s="436"/>
      <c r="X53" s="436"/>
      <c r="Y53" s="436"/>
      <c r="Z53" s="436"/>
      <c r="AA53" s="436"/>
      <c r="AB53" s="436"/>
      <c r="AC53" s="436"/>
      <c r="AD53" s="436"/>
      <c r="AE53" s="436"/>
      <c r="AF53" s="436"/>
      <c r="AG53" s="436"/>
      <c r="AH53" s="436"/>
      <c r="AI53" s="436"/>
      <c r="AJ53" s="436"/>
      <c r="AK53" s="436"/>
      <c r="AL53" s="436"/>
      <c r="AM53" s="436"/>
      <c r="AN53" s="436"/>
      <c r="AO53" s="436"/>
      <c r="AP53" s="436"/>
      <c r="AQ53" s="436"/>
      <c r="AR53" s="436"/>
      <c r="AS53" s="436"/>
      <c r="AT53" s="436"/>
      <c r="AU53" s="436"/>
      <c r="AV53" s="436"/>
      <c r="AW53" s="436"/>
      <c r="AX53" s="436"/>
      <c r="AY53" s="436"/>
      <c r="AZ53" s="436"/>
      <c r="BA53" s="436"/>
      <c r="BB53" s="436"/>
      <c r="BC53" s="436"/>
      <c r="BD53" s="436"/>
      <c r="BE53" s="436"/>
      <c r="BF53" s="436"/>
      <c r="BG53" s="436"/>
      <c r="BH53" s="436"/>
      <c r="BI53" s="436"/>
      <c r="BJ53" s="436"/>
      <c r="BK53" s="436"/>
      <c r="BL53" s="436"/>
      <c r="BM53" s="436"/>
      <c r="BN53" s="436"/>
      <c r="BO53" s="436"/>
      <c r="BP53" s="436"/>
      <c r="BQ53" s="436"/>
      <c r="BR53" s="436"/>
      <c r="BS53" s="436"/>
      <c r="BT53" s="436"/>
      <c r="BU53" s="436"/>
      <c r="BV53" s="436"/>
      <c r="BW53" s="436"/>
      <c r="BX53" s="436"/>
      <c r="BY53" s="436"/>
      <c r="BZ53" s="436"/>
      <c r="CA53" s="436"/>
      <c r="CB53" s="436"/>
      <c r="CC53" s="436"/>
      <c r="CD53" s="436"/>
      <c r="CE53" s="437">
        <v>51</v>
      </c>
      <c r="CF53" s="437">
        <v>51</v>
      </c>
      <c r="CG53" s="437">
        <v>51</v>
      </c>
      <c r="CH53" s="437">
        <v>51</v>
      </c>
      <c r="CI53" s="437">
        <v>51</v>
      </c>
      <c r="CJ53" s="437">
        <v>51</v>
      </c>
      <c r="CK53" s="437">
        <v>51</v>
      </c>
      <c r="CL53" s="437">
        <v>51</v>
      </c>
      <c r="CM53" s="437">
        <v>51</v>
      </c>
      <c r="CN53" s="437">
        <v>51</v>
      </c>
      <c r="CO53" s="437">
        <f t="shared" si="1"/>
        <v>95</v>
      </c>
      <c r="CP53" s="438">
        <f ca="1">ROUND(CO53*'1、课程目标与考核方式'!$H$13/100+IF(ISERROR(VLOOKUP(A53,'4、平时成绩'!$A$2:$H$201,8,FALSE)),0,VLOOKUP(A53,'4、平时成绩'!$A$2:$H$201,8,FALSE)),0)</f>
        <v>68</v>
      </c>
    </row>
    <row r="54" s="32" customFormat="1" spans="1:94">
      <c r="A54" s="433" t="s">
        <v>270</v>
      </c>
      <c r="B54" s="434" t="s">
        <v>271</v>
      </c>
      <c r="C54" s="435">
        <v>19</v>
      </c>
      <c r="D54" s="435">
        <v>19</v>
      </c>
      <c r="E54" s="435">
        <v>19</v>
      </c>
      <c r="F54" s="435">
        <v>19</v>
      </c>
      <c r="G54" s="435">
        <v>19</v>
      </c>
      <c r="H54" s="435"/>
      <c r="I54" s="435"/>
      <c r="J54" s="435"/>
      <c r="K54" s="435"/>
      <c r="L54" s="435"/>
      <c r="M54" s="435"/>
      <c r="N54" s="435"/>
      <c r="O54" s="435"/>
      <c r="P54" s="435"/>
      <c r="Q54" s="435"/>
      <c r="R54" s="435"/>
      <c r="S54" s="435"/>
      <c r="T54" s="435"/>
      <c r="U54" s="435"/>
      <c r="V54" s="435"/>
      <c r="W54" s="436"/>
      <c r="X54" s="436"/>
      <c r="Y54" s="436"/>
      <c r="Z54" s="436"/>
      <c r="AA54" s="436"/>
      <c r="AB54" s="436"/>
      <c r="AC54" s="436"/>
      <c r="AD54" s="436"/>
      <c r="AE54" s="436"/>
      <c r="AF54" s="436"/>
      <c r="AG54" s="436"/>
      <c r="AH54" s="436"/>
      <c r="AI54" s="436"/>
      <c r="AJ54" s="436"/>
      <c r="AK54" s="436"/>
      <c r="AL54" s="436"/>
      <c r="AM54" s="436"/>
      <c r="AN54" s="436"/>
      <c r="AO54" s="436"/>
      <c r="AP54" s="436"/>
      <c r="AQ54" s="436"/>
      <c r="AR54" s="436"/>
      <c r="AS54" s="436"/>
      <c r="AT54" s="436"/>
      <c r="AU54" s="436"/>
      <c r="AV54" s="436"/>
      <c r="AW54" s="436"/>
      <c r="AX54" s="436"/>
      <c r="AY54" s="436"/>
      <c r="AZ54" s="436"/>
      <c r="BA54" s="436"/>
      <c r="BB54" s="436"/>
      <c r="BC54" s="436"/>
      <c r="BD54" s="436"/>
      <c r="BE54" s="436"/>
      <c r="BF54" s="436"/>
      <c r="BG54" s="436"/>
      <c r="BH54" s="436"/>
      <c r="BI54" s="436"/>
      <c r="BJ54" s="436"/>
      <c r="BK54" s="436"/>
      <c r="BL54" s="436"/>
      <c r="BM54" s="436"/>
      <c r="BN54" s="436"/>
      <c r="BO54" s="436"/>
      <c r="BP54" s="436"/>
      <c r="BQ54" s="436"/>
      <c r="BR54" s="436"/>
      <c r="BS54" s="436"/>
      <c r="BT54" s="436"/>
      <c r="BU54" s="436"/>
      <c r="BV54" s="436"/>
      <c r="BW54" s="436"/>
      <c r="BX54" s="436"/>
      <c r="BY54" s="436"/>
      <c r="BZ54" s="436"/>
      <c r="CA54" s="436"/>
      <c r="CB54" s="436"/>
      <c r="CC54" s="436"/>
      <c r="CD54" s="436"/>
      <c r="CE54" s="437">
        <v>52</v>
      </c>
      <c r="CF54" s="437">
        <v>52</v>
      </c>
      <c r="CG54" s="437">
        <v>52</v>
      </c>
      <c r="CH54" s="437">
        <v>52</v>
      </c>
      <c r="CI54" s="437">
        <v>52</v>
      </c>
      <c r="CJ54" s="437">
        <v>52</v>
      </c>
      <c r="CK54" s="437">
        <v>52</v>
      </c>
      <c r="CL54" s="437">
        <v>52</v>
      </c>
      <c r="CM54" s="437">
        <v>52</v>
      </c>
      <c r="CN54" s="437">
        <v>52</v>
      </c>
      <c r="CO54" s="437">
        <f t="shared" si="1"/>
        <v>95</v>
      </c>
      <c r="CP54" s="438">
        <f ca="1">ROUND(CO54*'1、课程目标与考核方式'!$H$13/100+IF(ISERROR(VLOOKUP(A54,'4、平时成绩'!$A$2:$H$201,8,FALSE)),0,VLOOKUP(A54,'4、平时成绩'!$A$2:$H$201,8,FALSE)),0)</f>
        <v>69</v>
      </c>
    </row>
    <row r="55" s="32" customFormat="1" spans="1:94">
      <c r="A55" s="433" t="s">
        <v>272</v>
      </c>
      <c r="B55" s="434" t="s">
        <v>273</v>
      </c>
      <c r="C55" s="435">
        <v>19</v>
      </c>
      <c r="D55" s="435">
        <v>19</v>
      </c>
      <c r="E55" s="435">
        <v>19</v>
      </c>
      <c r="F55" s="435">
        <v>19</v>
      </c>
      <c r="G55" s="435">
        <v>19</v>
      </c>
      <c r="H55" s="435"/>
      <c r="I55" s="435"/>
      <c r="J55" s="435"/>
      <c r="K55" s="435"/>
      <c r="L55" s="435"/>
      <c r="M55" s="435"/>
      <c r="N55" s="435"/>
      <c r="O55" s="435"/>
      <c r="P55" s="435"/>
      <c r="Q55" s="435"/>
      <c r="R55" s="435"/>
      <c r="S55" s="435"/>
      <c r="T55" s="435"/>
      <c r="U55" s="435"/>
      <c r="V55" s="435"/>
      <c r="W55" s="436"/>
      <c r="X55" s="436"/>
      <c r="Y55" s="436"/>
      <c r="Z55" s="436"/>
      <c r="AA55" s="436"/>
      <c r="AB55" s="436"/>
      <c r="AC55" s="436"/>
      <c r="AD55" s="436"/>
      <c r="AE55" s="436"/>
      <c r="AF55" s="436"/>
      <c r="AG55" s="436"/>
      <c r="AH55" s="436"/>
      <c r="AI55" s="436"/>
      <c r="AJ55" s="436"/>
      <c r="AK55" s="436"/>
      <c r="AL55" s="436"/>
      <c r="AM55" s="436"/>
      <c r="AN55" s="436"/>
      <c r="AO55" s="436"/>
      <c r="AP55" s="436"/>
      <c r="AQ55" s="436"/>
      <c r="AR55" s="436"/>
      <c r="AS55" s="436"/>
      <c r="AT55" s="436"/>
      <c r="AU55" s="436"/>
      <c r="AV55" s="436"/>
      <c r="AW55" s="436"/>
      <c r="AX55" s="436"/>
      <c r="AY55" s="436"/>
      <c r="AZ55" s="436"/>
      <c r="BA55" s="436"/>
      <c r="BB55" s="436"/>
      <c r="BC55" s="436"/>
      <c r="BD55" s="436"/>
      <c r="BE55" s="436"/>
      <c r="BF55" s="436"/>
      <c r="BG55" s="436"/>
      <c r="BH55" s="436"/>
      <c r="BI55" s="436"/>
      <c r="BJ55" s="436"/>
      <c r="BK55" s="436"/>
      <c r="BL55" s="436"/>
      <c r="BM55" s="436"/>
      <c r="BN55" s="436"/>
      <c r="BO55" s="436"/>
      <c r="BP55" s="436"/>
      <c r="BQ55" s="436"/>
      <c r="BR55" s="436"/>
      <c r="BS55" s="436"/>
      <c r="BT55" s="436"/>
      <c r="BU55" s="436"/>
      <c r="BV55" s="436"/>
      <c r="BW55" s="436"/>
      <c r="BX55" s="436"/>
      <c r="BY55" s="436"/>
      <c r="BZ55" s="436"/>
      <c r="CA55" s="436"/>
      <c r="CB55" s="436"/>
      <c r="CC55" s="436"/>
      <c r="CD55" s="436"/>
      <c r="CE55" s="437">
        <v>53</v>
      </c>
      <c r="CF55" s="437">
        <v>53</v>
      </c>
      <c r="CG55" s="437">
        <v>53</v>
      </c>
      <c r="CH55" s="437">
        <v>53</v>
      </c>
      <c r="CI55" s="437">
        <v>53</v>
      </c>
      <c r="CJ55" s="437">
        <v>53</v>
      </c>
      <c r="CK55" s="437">
        <v>53</v>
      </c>
      <c r="CL55" s="437">
        <v>53</v>
      </c>
      <c r="CM55" s="437">
        <v>53</v>
      </c>
      <c r="CN55" s="437">
        <v>53</v>
      </c>
      <c r="CO55" s="437">
        <f t="shared" si="1"/>
        <v>95</v>
      </c>
      <c r="CP55" s="438">
        <f ca="1">ROUND(CO55*'1、课程目标与考核方式'!$H$13/100+IF(ISERROR(VLOOKUP(A55,'4、平时成绩'!$A$2:$H$201,8,FALSE)),0,VLOOKUP(A55,'4、平时成绩'!$A$2:$H$201,8,FALSE)),0)</f>
        <v>69</v>
      </c>
    </row>
    <row r="56" s="32" customFormat="1" spans="1:94">
      <c r="A56" s="433" t="s">
        <v>274</v>
      </c>
      <c r="B56" s="434" t="s">
        <v>275</v>
      </c>
      <c r="C56" s="435">
        <v>19</v>
      </c>
      <c r="D56" s="435">
        <v>19</v>
      </c>
      <c r="E56" s="435">
        <v>19</v>
      </c>
      <c r="F56" s="435">
        <v>19</v>
      </c>
      <c r="G56" s="435">
        <v>19</v>
      </c>
      <c r="H56" s="435"/>
      <c r="I56" s="435"/>
      <c r="J56" s="435"/>
      <c r="K56" s="435"/>
      <c r="L56" s="435"/>
      <c r="M56" s="435"/>
      <c r="N56" s="435"/>
      <c r="O56" s="435"/>
      <c r="P56" s="435"/>
      <c r="Q56" s="435"/>
      <c r="R56" s="435"/>
      <c r="S56" s="435"/>
      <c r="T56" s="435"/>
      <c r="U56" s="435"/>
      <c r="V56" s="435"/>
      <c r="W56" s="436"/>
      <c r="X56" s="436"/>
      <c r="Y56" s="436"/>
      <c r="Z56" s="436"/>
      <c r="AA56" s="436"/>
      <c r="AB56" s="436"/>
      <c r="AC56" s="436"/>
      <c r="AD56" s="436"/>
      <c r="AE56" s="436"/>
      <c r="AF56" s="436"/>
      <c r="AG56" s="436"/>
      <c r="AH56" s="436"/>
      <c r="AI56" s="436"/>
      <c r="AJ56" s="436"/>
      <c r="AK56" s="436"/>
      <c r="AL56" s="436"/>
      <c r="AM56" s="436"/>
      <c r="AN56" s="436"/>
      <c r="AO56" s="436"/>
      <c r="AP56" s="436"/>
      <c r="AQ56" s="436"/>
      <c r="AR56" s="436"/>
      <c r="AS56" s="436"/>
      <c r="AT56" s="436"/>
      <c r="AU56" s="436"/>
      <c r="AV56" s="436"/>
      <c r="AW56" s="436"/>
      <c r="AX56" s="436"/>
      <c r="AY56" s="436"/>
      <c r="AZ56" s="436"/>
      <c r="BA56" s="436"/>
      <c r="BB56" s="436"/>
      <c r="BC56" s="436"/>
      <c r="BD56" s="436"/>
      <c r="BE56" s="436"/>
      <c r="BF56" s="436"/>
      <c r="BG56" s="436"/>
      <c r="BH56" s="436"/>
      <c r="BI56" s="436"/>
      <c r="BJ56" s="436"/>
      <c r="BK56" s="436"/>
      <c r="BL56" s="436"/>
      <c r="BM56" s="436"/>
      <c r="BN56" s="436"/>
      <c r="BO56" s="436"/>
      <c r="BP56" s="436"/>
      <c r="BQ56" s="436"/>
      <c r="BR56" s="436"/>
      <c r="BS56" s="436"/>
      <c r="BT56" s="436"/>
      <c r="BU56" s="436"/>
      <c r="BV56" s="436"/>
      <c r="BW56" s="436"/>
      <c r="BX56" s="436"/>
      <c r="BY56" s="436"/>
      <c r="BZ56" s="436"/>
      <c r="CA56" s="436"/>
      <c r="CB56" s="436"/>
      <c r="CC56" s="436"/>
      <c r="CD56" s="436"/>
      <c r="CE56" s="437">
        <v>54</v>
      </c>
      <c r="CF56" s="437">
        <v>54</v>
      </c>
      <c r="CG56" s="437">
        <v>54</v>
      </c>
      <c r="CH56" s="437">
        <v>54</v>
      </c>
      <c r="CI56" s="437">
        <v>54</v>
      </c>
      <c r="CJ56" s="437">
        <v>54</v>
      </c>
      <c r="CK56" s="437">
        <v>54</v>
      </c>
      <c r="CL56" s="437">
        <v>54</v>
      </c>
      <c r="CM56" s="437">
        <v>54</v>
      </c>
      <c r="CN56" s="437">
        <v>54</v>
      </c>
      <c r="CO56" s="437">
        <f t="shared" si="1"/>
        <v>95</v>
      </c>
      <c r="CP56" s="438">
        <f ca="1">ROUND(CO56*'1、课程目标与考核方式'!$H$13/100+IF(ISERROR(VLOOKUP(A56,'4、平时成绩'!$A$2:$H$201,8,FALSE)),0,VLOOKUP(A56,'4、平时成绩'!$A$2:$H$201,8,FALSE)),0)</f>
        <v>69</v>
      </c>
    </row>
    <row r="57" s="32" customFormat="1" spans="1:94">
      <c r="A57" s="433" t="s">
        <v>276</v>
      </c>
      <c r="B57" s="434" t="s">
        <v>277</v>
      </c>
      <c r="C57" s="435">
        <v>19</v>
      </c>
      <c r="D57" s="435">
        <v>19</v>
      </c>
      <c r="E57" s="435">
        <v>19</v>
      </c>
      <c r="F57" s="435">
        <v>19</v>
      </c>
      <c r="G57" s="435">
        <v>19</v>
      </c>
      <c r="H57" s="435"/>
      <c r="I57" s="435"/>
      <c r="J57" s="435"/>
      <c r="K57" s="435"/>
      <c r="L57" s="435"/>
      <c r="M57" s="435"/>
      <c r="N57" s="435"/>
      <c r="O57" s="435"/>
      <c r="P57" s="435"/>
      <c r="Q57" s="435"/>
      <c r="R57" s="435"/>
      <c r="S57" s="435"/>
      <c r="T57" s="435"/>
      <c r="U57" s="435"/>
      <c r="V57" s="435"/>
      <c r="W57" s="436"/>
      <c r="X57" s="436"/>
      <c r="Y57" s="436"/>
      <c r="Z57" s="436"/>
      <c r="AA57" s="436"/>
      <c r="AB57" s="436"/>
      <c r="AC57" s="436"/>
      <c r="AD57" s="436"/>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436"/>
      <c r="BC57" s="436"/>
      <c r="BD57" s="436"/>
      <c r="BE57" s="436"/>
      <c r="BF57" s="436"/>
      <c r="BG57" s="436"/>
      <c r="BH57" s="436"/>
      <c r="BI57" s="436"/>
      <c r="BJ57" s="436"/>
      <c r="BK57" s="436"/>
      <c r="BL57" s="436"/>
      <c r="BM57" s="436"/>
      <c r="BN57" s="436"/>
      <c r="BO57" s="436"/>
      <c r="BP57" s="436"/>
      <c r="BQ57" s="436"/>
      <c r="BR57" s="436"/>
      <c r="BS57" s="436"/>
      <c r="BT57" s="436"/>
      <c r="BU57" s="436"/>
      <c r="BV57" s="436"/>
      <c r="BW57" s="436"/>
      <c r="BX57" s="436"/>
      <c r="BY57" s="436"/>
      <c r="BZ57" s="436"/>
      <c r="CA57" s="436"/>
      <c r="CB57" s="436"/>
      <c r="CC57" s="436"/>
      <c r="CD57" s="436"/>
      <c r="CE57" s="437">
        <v>55</v>
      </c>
      <c r="CF57" s="437">
        <v>55</v>
      </c>
      <c r="CG57" s="437">
        <v>55</v>
      </c>
      <c r="CH57" s="437">
        <v>55</v>
      </c>
      <c r="CI57" s="437">
        <v>55</v>
      </c>
      <c r="CJ57" s="437">
        <v>55</v>
      </c>
      <c r="CK57" s="437">
        <v>55</v>
      </c>
      <c r="CL57" s="437">
        <v>55</v>
      </c>
      <c r="CM57" s="437">
        <v>55</v>
      </c>
      <c r="CN57" s="437">
        <v>55</v>
      </c>
      <c r="CO57" s="437">
        <f t="shared" si="1"/>
        <v>95</v>
      </c>
      <c r="CP57" s="438">
        <f ca="1">ROUND(CO57*'1、课程目标与考核方式'!$H$13/100+IF(ISERROR(VLOOKUP(A57,'4、平时成绩'!$A$2:$H$201,8,FALSE)),0,VLOOKUP(A57,'4、平时成绩'!$A$2:$H$201,8,FALSE)),0)</f>
        <v>71</v>
      </c>
    </row>
    <row r="58" s="32" customFormat="1" spans="1:94">
      <c r="A58" s="433" t="s">
        <v>278</v>
      </c>
      <c r="B58" s="434" t="s">
        <v>279</v>
      </c>
      <c r="C58" s="435">
        <v>19</v>
      </c>
      <c r="D58" s="435">
        <v>19</v>
      </c>
      <c r="E58" s="435">
        <v>19</v>
      </c>
      <c r="F58" s="435">
        <v>19</v>
      </c>
      <c r="G58" s="435">
        <v>19</v>
      </c>
      <c r="H58" s="435"/>
      <c r="I58" s="435"/>
      <c r="J58" s="435"/>
      <c r="K58" s="435"/>
      <c r="L58" s="435"/>
      <c r="M58" s="435"/>
      <c r="N58" s="435"/>
      <c r="O58" s="435"/>
      <c r="P58" s="435"/>
      <c r="Q58" s="435"/>
      <c r="R58" s="435"/>
      <c r="S58" s="435"/>
      <c r="T58" s="435"/>
      <c r="U58" s="435"/>
      <c r="V58" s="435"/>
      <c r="W58" s="436"/>
      <c r="X58" s="436"/>
      <c r="Y58" s="436"/>
      <c r="Z58" s="436"/>
      <c r="AA58" s="436"/>
      <c r="AB58" s="436"/>
      <c r="AC58" s="436"/>
      <c r="AD58" s="436"/>
      <c r="AE58" s="436"/>
      <c r="AF58" s="436"/>
      <c r="AG58" s="436"/>
      <c r="AH58" s="436"/>
      <c r="AI58" s="436"/>
      <c r="AJ58" s="436"/>
      <c r="AK58" s="436"/>
      <c r="AL58" s="436"/>
      <c r="AM58" s="436"/>
      <c r="AN58" s="436"/>
      <c r="AO58" s="436"/>
      <c r="AP58" s="436"/>
      <c r="AQ58" s="436"/>
      <c r="AR58" s="436"/>
      <c r="AS58" s="436"/>
      <c r="AT58" s="436"/>
      <c r="AU58" s="436"/>
      <c r="AV58" s="436"/>
      <c r="AW58" s="436"/>
      <c r="AX58" s="436"/>
      <c r="AY58" s="436"/>
      <c r="AZ58" s="436"/>
      <c r="BA58" s="436"/>
      <c r="BB58" s="436"/>
      <c r="BC58" s="436"/>
      <c r="BD58" s="436"/>
      <c r="BE58" s="436"/>
      <c r="BF58" s="436"/>
      <c r="BG58" s="436"/>
      <c r="BH58" s="436"/>
      <c r="BI58" s="436"/>
      <c r="BJ58" s="436"/>
      <c r="BK58" s="436"/>
      <c r="BL58" s="436"/>
      <c r="BM58" s="436"/>
      <c r="BN58" s="436"/>
      <c r="BO58" s="436"/>
      <c r="BP58" s="436"/>
      <c r="BQ58" s="436"/>
      <c r="BR58" s="436"/>
      <c r="BS58" s="436"/>
      <c r="BT58" s="436"/>
      <c r="BU58" s="436"/>
      <c r="BV58" s="436"/>
      <c r="BW58" s="436"/>
      <c r="BX58" s="436"/>
      <c r="BY58" s="436"/>
      <c r="BZ58" s="436"/>
      <c r="CA58" s="436"/>
      <c r="CB58" s="436"/>
      <c r="CC58" s="436"/>
      <c r="CD58" s="436"/>
      <c r="CE58" s="437">
        <v>56</v>
      </c>
      <c r="CF58" s="437">
        <v>56</v>
      </c>
      <c r="CG58" s="437">
        <v>56</v>
      </c>
      <c r="CH58" s="437">
        <v>56</v>
      </c>
      <c r="CI58" s="437">
        <v>56</v>
      </c>
      <c r="CJ58" s="437">
        <v>56</v>
      </c>
      <c r="CK58" s="437">
        <v>56</v>
      </c>
      <c r="CL58" s="437">
        <v>56</v>
      </c>
      <c r="CM58" s="437">
        <v>56</v>
      </c>
      <c r="CN58" s="437">
        <v>56</v>
      </c>
      <c r="CO58" s="437">
        <f t="shared" si="1"/>
        <v>95</v>
      </c>
      <c r="CP58" s="438">
        <f ca="1">ROUND(CO58*'1、课程目标与考核方式'!$H$13/100+IF(ISERROR(VLOOKUP(A58,'4、平时成绩'!$A$2:$H$201,8,FALSE)),0,VLOOKUP(A58,'4、平时成绩'!$A$2:$H$201,8,FALSE)),0)</f>
        <v>67</v>
      </c>
    </row>
    <row r="59" s="32" customFormat="1" spans="1:94">
      <c r="A59" s="433" t="s">
        <v>280</v>
      </c>
      <c r="B59" s="434" t="s">
        <v>281</v>
      </c>
      <c r="C59" s="435">
        <v>19</v>
      </c>
      <c r="D59" s="435">
        <v>19</v>
      </c>
      <c r="E59" s="435">
        <v>19</v>
      </c>
      <c r="F59" s="435">
        <v>19</v>
      </c>
      <c r="G59" s="435">
        <v>19</v>
      </c>
      <c r="H59" s="435"/>
      <c r="I59" s="435"/>
      <c r="J59" s="435"/>
      <c r="K59" s="435"/>
      <c r="L59" s="435"/>
      <c r="M59" s="435"/>
      <c r="N59" s="435"/>
      <c r="O59" s="435"/>
      <c r="P59" s="435"/>
      <c r="Q59" s="435"/>
      <c r="R59" s="435"/>
      <c r="S59" s="435"/>
      <c r="T59" s="435"/>
      <c r="U59" s="435"/>
      <c r="V59" s="435"/>
      <c r="W59" s="436"/>
      <c r="X59" s="436"/>
      <c r="Y59" s="436"/>
      <c r="Z59" s="436"/>
      <c r="AA59" s="436"/>
      <c r="AB59" s="436"/>
      <c r="AC59" s="436"/>
      <c r="AD59" s="436"/>
      <c r="AE59" s="436"/>
      <c r="AF59" s="436"/>
      <c r="AG59" s="436"/>
      <c r="AH59" s="436"/>
      <c r="AI59" s="436"/>
      <c r="AJ59" s="436"/>
      <c r="AK59" s="436"/>
      <c r="AL59" s="436"/>
      <c r="AM59" s="436"/>
      <c r="AN59" s="436"/>
      <c r="AO59" s="436"/>
      <c r="AP59" s="436"/>
      <c r="AQ59" s="436"/>
      <c r="AR59" s="436"/>
      <c r="AS59" s="436"/>
      <c r="AT59" s="436"/>
      <c r="AU59" s="436"/>
      <c r="AV59" s="436"/>
      <c r="AW59" s="436"/>
      <c r="AX59" s="436"/>
      <c r="AY59" s="436"/>
      <c r="AZ59" s="436"/>
      <c r="BA59" s="436"/>
      <c r="BB59" s="436"/>
      <c r="BC59" s="436"/>
      <c r="BD59" s="436"/>
      <c r="BE59" s="436"/>
      <c r="BF59" s="436"/>
      <c r="BG59" s="436"/>
      <c r="BH59" s="436"/>
      <c r="BI59" s="436"/>
      <c r="BJ59" s="436"/>
      <c r="BK59" s="436"/>
      <c r="BL59" s="436"/>
      <c r="BM59" s="436"/>
      <c r="BN59" s="436"/>
      <c r="BO59" s="436"/>
      <c r="BP59" s="436"/>
      <c r="BQ59" s="436"/>
      <c r="BR59" s="436"/>
      <c r="BS59" s="436"/>
      <c r="BT59" s="436"/>
      <c r="BU59" s="436"/>
      <c r="BV59" s="436"/>
      <c r="BW59" s="436"/>
      <c r="BX59" s="436"/>
      <c r="BY59" s="436"/>
      <c r="BZ59" s="436"/>
      <c r="CA59" s="436"/>
      <c r="CB59" s="436"/>
      <c r="CC59" s="436"/>
      <c r="CD59" s="436"/>
      <c r="CE59" s="437">
        <v>57</v>
      </c>
      <c r="CF59" s="437">
        <v>57</v>
      </c>
      <c r="CG59" s="437">
        <v>57</v>
      </c>
      <c r="CH59" s="437">
        <v>57</v>
      </c>
      <c r="CI59" s="437">
        <v>57</v>
      </c>
      <c r="CJ59" s="437">
        <v>57</v>
      </c>
      <c r="CK59" s="437">
        <v>57</v>
      </c>
      <c r="CL59" s="437">
        <v>57</v>
      </c>
      <c r="CM59" s="437">
        <v>57</v>
      </c>
      <c r="CN59" s="437">
        <v>57</v>
      </c>
      <c r="CO59" s="437">
        <f t="shared" si="1"/>
        <v>95</v>
      </c>
      <c r="CP59" s="438">
        <f ca="1">ROUND(CO59*'1、课程目标与考核方式'!$H$13/100+IF(ISERROR(VLOOKUP(A59,'4、平时成绩'!$A$2:$H$201,8,FALSE)),0,VLOOKUP(A59,'4、平时成绩'!$A$2:$H$201,8,FALSE)),0)</f>
        <v>68</v>
      </c>
    </row>
    <row r="60" s="32" customFormat="1" spans="1:94">
      <c r="A60" s="433" t="s">
        <v>282</v>
      </c>
      <c r="B60" s="434" t="s">
        <v>283</v>
      </c>
      <c r="C60" s="435">
        <v>19</v>
      </c>
      <c r="D60" s="435">
        <v>19</v>
      </c>
      <c r="E60" s="435">
        <v>19</v>
      </c>
      <c r="F60" s="435">
        <v>19</v>
      </c>
      <c r="G60" s="435">
        <v>19</v>
      </c>
      <c r="H60" s="435"/>
      <c r="I60" s="435"/>
      <c r="J60" s="435"/>
      <c r="K60" s="435"/>
      <c r="L60" s="435"/>
      <c r="M60" s="435"/>
      <c r="N60" s="435"/>
      <c r="O60" s="435"/>
      <c r="P60" s="435"/>
      <c r="Q60" s="435"/>
      <c r="R60" s="435"/>
      <c r="S60" s="435"/>
      <c r="T60" s="435"/>
      <c r="U60" s="435"/>
      <c r="V60" s="435"/>
      <c r="W60" s="436"/>
      <c r="X60" s="436"/>
      <c r="Y60" s="436"/>
      <c r="Z60" s="436"/>
      <c r="AA60" s="436"/>
      <c r="AB60" s="436"/>
      <c r="AC60" s="436"/>
      <c r="AD60" s="436"/>
      <c r="AE60" s="436"/>
      <c r="AF60" s="436"/>
      <c r="AG60" s="436"/>
      <c r="AH60" s="436"/>
      <c r="AI60" s="436"/>
      <c r="AJ60" s="436"/>
      <c r="AK60" s="436"/>
      <c r="AL60" s="436"/>
      <c r="AM60" s="436"/>
      <c r="AN60" s="436"/>
      <c r="AO60" s="436"/>
      <c r="AP60" s="436"/>
      <c r="AQ60" s="436"/>
      <c r="AR60" s="436"/>
      <c r="AS60" s="436"/>
      <c r="AT60" s="436"/>
      <c r="AU60" s="436"/>
      <c r="AV60" s="436"/>
      <c r="AW60" s="436"/>
      <c r="AX60" s="436"/>
      <c r="AY60" s="436"/>
      <c r="AZ60" s="436"/>
      <c r="BA60" s="436"/>
      <c r="BB60" s="436"/>
      <c r="BC60" s="436"/>
      <c r="BD60" s="436"/>
      <c r="BE60" s="436"/>
      <c r="BF60" s="436"/>
      <c r="BG60" s="436"/>
      <c r="BH60" s="436"/>
      <c r="BI60" s="436"/>
      <c r="BJ60" s="436"/>
      <c r="BK60" s="436"/>
      <c r="BL60" s="436"/>
      <c r="BM60" s="436"/>
      <c r="BN60" s="436"/>
      <c r="BO60" s="436"/>
      <c r="BP60" s="436"/>
      <c r="BQ60" s="436"/>
      <c r="BR60" s="436"/>
      <c r="BS60" s="436"/>
      <c r="BT60" s="436"/>
      <c r="BU60" s="436"/>
      <c r="BV60" s="436"/>
      <c r="BW60" s="436"/>
      <c r="BX60" s="436"/>
      <c r="BY60" s="436"/>
      <c r="BZ60" s="436"/>
      <c r="CA60" s="436"/>
      <c r="CB60" s="436"/>
      <c r="CC60" s="436"/>
      <c r="CD60" s="436"/>
      <c r="CE60" s="437">
        <v>58</v>
      </c>
      <c r="CF60" s="437">
        <v>58</v>
      </c>
      <c r="CG60" s="437">
        <v>58</v>
      </c>
      <c r="CH60" s="437">
        <v>58</v>
      </c>
      <c r="CI60" s="437">
        <v>58</v>
      </c>
      <c r="CJ60" s="437">
        <v>58</v>
      </c>
      <c r="CK60" s="437">
        <v>58</v>
      </c>
      <c r="CL60" s="437">
        <v>58</v>
      </c>
      <c r="CM60" s="437">
        <v>58</v>
      </c>
      <c r="CN60" s="437">
        <v>58</v>
      </c>
      <c r="CO60" s="437">
        <f t="shared" si="1"/>
        <v>95</v>
      </c>
      <c r="CP60" s="438">
        <f ca="1">ROUND(CO60*'1、课程目标与考核方式'!$H$13/100+IF(ISERROR(VLOOKUP(A60,'4、平时成绩'!$A$2:$H$201,8,FALSE)),0,VLOOKUP(A60,'4、平时成绩'!$A$2:$H$201,8,FALSE)),0)</f>
        <v>70</v>
      </c>
    </row>
    <row r="61" s="32" customFormat="1" spans="1:94">
      <c r="A61" s="433" t="s">
        <v>284</v>
      </c>
      <c r="B61" s="434" t="s">
        <v>285</v>
      </c>
      <c r="C61" s="435">
        <v>19</v>
      </c>
      <c r="D61" s="435">
        <v>19</v>
      </c>
      <c r="E61" s="435">
        <v>19</v>
      </c>
      <c r="F61" s="435">
        <v>19</v>
      </c>
      <c r="G61" s="435">
        <v>19</v>
      </c>
      <c r="H61" s="435"/>
      <c r="I61" s="435"/>
      <c r="J61" s="435"/>
      <c r="K61" s="435"/>
      <c r="L61" s="435"/>
      <c r="M61" s="435"/>
      <c r="N61" s="435"/>
      <c r="O61" s="435"/>
      <c r="P61" s="435"/>
      <c r="Q61" s="435"/>
      <c r="R61" s="435"/>
      <c r="S61" s="435"/>
      <c r="T61" s="435"/>
      <c r="U61" s="435"/>
      <c r="V61" s="435"/>
      <c r="W61" s="436"/>
      <c r="X61" s="436"/>
      <c r="Y61" s="436"/>
      <c r="Z61" s="436"/>
      <c r="AA61" s="436"/>
      <c r="AB61" s="436"/>
      <c r="AC61" s="436"/>
      <c r="AD61" s="436"/>
      <c r="AE61" s="436"/>
      <c r="AF61" s="436"/>
      <c r="AG61" s="436"/>
      <c r="AH61" s="436"/>
      <c r="AI61" s="436"/>
      <c r="AJ61" s="436"/>
      <c r="AK61" s="436"/>
      <c r="AL61" s="436"/>
      <c r="AM61" s="436"/>
      <c r="AN61" s="436"/>
      <c r="AO61" s="436"/>
      <c r="AP61" s="436"/>
      <c r="AQ61" s="436"/>
      <c r="AR61" s="436"/>
      <c r="AS61" s="436"/>
      <c r="AT61" s="436"/>
      <c r="AU61" s="436"/>
      <c r="AV61" s="436"/>
      <c r="AW61" s="436"/>
      <c r="AX61" s="436"/>
      <c r="AY61" s="436"/>
      <c r="AZ61" s="436"/>
      <c r="BA61" s="436"/>
      <c r="BB61" s="436"/>
      <c r="BC61" s="436"/>
      <c r="BD61" s="436"/>
      <c r="BE61" s="436"/>
      <c r="BF61" s="436"/>
      <c r="BG61" s="436"/>
      <c r="BH61" s="436"/>
      <c r="BI61" s="436"/>
      <c r="BJ61" s="436"/>
      <c r="BK61" s="436"/>
      <c r="BL61" s="436"/>
      <c r="BM61" s="436"/>
      <c r="BN61" s="436"/>
      <c r="BO61" s="436"/>
      <c r="BP61" s="436"/>
      <c r="BQ61" s="436"/>
      <c r="BR61" s="436"/>
      <c r="BS61" s="436"/>
      <c r="BT61" s="436"/>
      <c r="BU61" s="436"/>
      <c r="BV61" s="436"/>
      <c r="BW61" s="436"/>
      <c r="BX61" s="436"/>
      <c r="BY61" s="436"/>
      <c r="BZ61" s="436"/>
      <c r="CA61" s="436"/>
      <c r="CB61" s="436"/>
      <c r="CC61" s="436"/>
      <c r="CD61" s="436"/>
      <c r="CE61" s="437">
        <v>59</v>
      </c>
      <c r="CF61" s="437">
        <v>59</v>
      </c>
      <c r="CG61" s="437">
        <v>59</v>
      </c>
      <c r="CH61" s="437">
        <v>59</v>
      </c>
      <c r="CI61" s="437">
        <v>59</v>
      </c>
      <c r="CJ61" s="437">
        <v>59</v>
      </c>
      <c r="CK61" s="437">
        <v>59</v>
      </c>
      <c r="CL61" s="437">
        <v>59</v>
      </c>
      <c r="CM61" s="437">
        <v>59</v>
      </c>
      <c r="CN61" s="437">
        <v>59</v>
      </c>
      <c r="CO61" s="437">
        <f t="shared" si="1"/>
        <v>95</v>
      </c>
      <c r="CP61" s="438">
        <f ca="1">ROUND(CO61*'1、课程目标与考核方式'!$H$13/100+IF(ISERROR(VLOOKUP(A61,'4、平时成绩'!$A$2:$H$201,8,FALSE)),0,VLOOKUP(A61,'4、平时成绩'!$A$2:$H$201,8,FALSE)),0)</f>
        <v>73</v>
      </c>
    </row>
    <row r="62" s="32" customFormat="1" spans="1:94">
      <c r="A62" s="433" t="s">
        <v>286</v>
      </c>
      <c r="B62" s="434" t="s">
        <v>287</v>
      </c>
      <c r="C62" s="435">
        <v>19</v>
      </c>
      <c r="D62" s="435">
        <v>19</v>
      </c>
      <c r="E62" s="435">
        <v>19</v>
      </c>
      <c r="F62" s="435">
        <v>19</v>
      </c>
      <c r="G62" s="435">
        <v>19</v>
      </c>
      <c r="H62" s="435"/>
      <c r="I62" s="435"/>
      <c r="J62" s="435"/>
      <c r="K62" s="435"/>
      <c r="L62" s="435"/>
      <c r="M62" s="435"/>
      <c r="N62" s="435"/>
      <c r="O62" s="435"/>
      <c r="P62" s="435"/>
      <c r="Q62" s="435"/>
      <c r="R62" s="435"/>
      <c r="S62" s="435"/>
      <c r="T62" s="435"/>
      <c r="U62" s="435"/>
      <c r="V62" s="435"/>
      <c r="W62" s="436"/>
      <c r="X62" s="436"/>
      <c r="Y62" s="436"/>
      <c r="Z62" s="436"/>
      <c r="AA62" s="436"/>
      <c r="AB62" s="436"/>
      <c r="AC62" s="436"/>
      <c r="AD62" s="436"/>
      <c r="AE62" s="436"/>
      <c r="AF62" s="436"/>
      <c r="AG62" s="436"/>
      <c r="AH62" s="436"/>
      <c r="AI62" s="436"/>
      <c r="AJ62" s="436"/>
      <c r="AK62" s="436"/>
      <c r="AL62" s="436"/>
      <c r="AM62" s="436"/>
      <c r="AN62" s="436"/>
      <c r="AO62" s="436"/>
      <c r="AP62" s="436"/>
      <c r="AQ62" s="436"/>
      <c r="AR62" s="436"/>
      <c r="AS62" s="436"/>
      <c r="AT62" s="436"/>
      <c r="AU62" s="436"/>
      <c r="AV62" s="436"/>
      <c r="AW62" s="436"/>
      <c r="AX62" s="436"/>
      <c r="AY62" s="436"/>
      <c r="AZ62" s="436"/>
      <c r="BA62" s="436"/>
      <c r="BB62" s="436"/>
      <c r="BC62" s="436"/>
      <c r="BD62" s="436"/>
      <c r="BE62" s="436"/>
      <c r="BF62" s="436"/>
      <c r="BG62" s="436"/>
      <c r="BH62" s="436"/>
      <c r="BI62" s="436"/>
      <c r="BJ62" s="436"/>
      <c r="BK62" s="436"/>
      <c r="BL62" s="436"/>
      <c r="BM62" s="436"/>
      <c r="BN62" s="436"/>
      <c r="BO62" s="436"/>
      <c r="BP62" s="436"/>
      <c r="BQ62" s="436"/>
      <c r="BR62" s="436"/>
      <c r="BS62" s="436"/>
      <c r="BT62" s="436"/>
      <c r="BU62" s="436"/>
      <c r="BV62" s="436"/>
      <c r="BW62" s="436"/>
      <c r="BX62" s="436"/>
      <c r="BY62" s="436"/>
      <c r="BZ62" s="436"/>
      <c r="CA62" s="436"/>
      <c r="CB62" s="436"/>
      <c r="CC62" s="436"/>
      <c r="CD62" s="436"/>
      <c r="CE62" s="437">
        <v>60</v>
      </c>
      <c r="CF62" s="437">
        <v>60</v>
      </c>
      <c r="CG62" s="437">
        <v>60</v>
      </c>
      <c r="CH62" s="437">
        <v>60</v>
      </c>
      <c r="CI62" s="437">
        <v>60</v>
      </c>
      <c r="CJ62" s="437">
        <v>60</v>
      </c>
      <c r="CK62" s="437">
        <v>60</v>
      </c>
      <c r="CL62" s="437">
        <v>60</v>
      </c>
      <c r="CM62" s="437">
        <v>60</v>
      </c>
      <c r="CN62" s="437">
        <v>60</v>
      </c>
      <c r="CO62" s="437">
        <f t="shared" si="1"/>
        <v>95</v>
      </c>
      <c r="CP62" s="438">
        <f ca="1">ROUND(CO62*'1、课程目标与考核方式'!$H$13/100+IF(ISERROR(VLOOKUP(A62,'4、平时成绩'!$A$2:$H$201,8,FALSE)),0,VLOOKUP(A62,'4、平时成绩'!$A$2:$H$201,8,FALSE)),0)</f>
        <v>69</v>
      </c>
    </row>
    <row r="63" s="32" customFormat="1" spans="1:94">
      <c r="A63" s="433" t="s">
        <v>288</v>
      </c>
      <c r="B63" s="434" t="s">
        <v>289</v>
      </c>
      <c r="C63" s="435">
        <v>19</v>
      </c>
      <c r="D63" s="435">
        <v>19</v>
      </c>
      <c r="E63" s="435">
        <v>19</v>
      </c>
      <c r="F63" s="435">
        <v>19</v>
      </c>
      <c r="G63" s="435">
        <v>19</v>
      </c>
      <c r="H63" s="435"/>
      <c r="I63" s="435"/>
      <c r="J63" s="435"/>
      <c r="K63" s="435"/>
      <c r="L63" s="435"/>
      <c r="M63" s="435"/>
      <c r="N63" s="435"/>
      <c r="O63" s="435"/>
      <c r="P63" s="435"/>
      <c r="Q63" s="435"/>
      <c r="R63" s="435"/>
      <c r="S63" s="435"/>
      <c r="T63" s="435"/>
      <c r="U63" s="435"/>
      <c r="V63" s="435"/>
      <c r="W63" s="436"/>
      <c r="X63" s="436"/>
      <c r="Y63" s="436"/>
      <c r="Z63" s="436"/>
      <c r="AA63" s="436"/>
      <c r="AB63" s="436"/>
      <c r="AC63" s="436"/>
      <c r="AD63" s="436"/>
      <c r="AE63" s="436"/>
      <c r="AF63" s="436"/>
      <c r="AG63" s="436"/>
      <c r="AH63" s="436"/>
      <c r="AI63" s="436"/>
      <c r="AJ63" s="436"/>
      <c r="AK63" s="436"/>
      <c r="AL63" s="436"/>
      <c r="AM63" s="436"/>
      <c r="AN63" s="436"/>
      <c r="AO63" s="436"/>
      <c r="AP63" s="436"/>
      <c r="AQ63" s="436"/>
      <c r="AR63" s="436"/>
      <c r="AS63" s="436"/>
      <c r="AT63" s="436"/>
      <c r="AU63" s="436"/>
      <c r="AV63" s="436"/>
      <c r="AW63" s="436"/>
      <c r="AX63" s="436"/>
      <c r="AY63" s="436"/>
      <c r="AZ63" s="436"/>
      <c r="BA63" s="436"/>
      <c r="BB63" s="436"/>
      <c r="BC63" s="436"/>
      <c r="BD63" s="436"/>
      <c r="BE63" s="436"/>
      <c r="BF63" s="436"/>
      <c r="BG63" s="436"/>
      <c r="BH63" s="436"/>
      <c r="BI63" s="436"/>
      <c r="BJ63" s="436"/>
      <c r="BK63" s="436"/>
      <c r="BL63" s="436"/>
      <c r="BM63" s="436"/>
      <c r="BN63" s="436"/>
      <c r="BO63" s="436"/>
      <c r="BP63" s="436"/>
      <c r="BQ63" s="436"/>
      <c r="BR63" s="436"/>
      <c r="BS63" s="436"/>
      <c r="BT63" s="436"/>
      <c r="BU63" s="436"/>
      <c r="BV63" s="436"/>
      <c r="BW63" s="436"/>
      <c r="BX63" s="436"/>
      <c r="BY63" s="436"/>
      <c r="BZ63" s="436"/>
      <c r="CA63" s="436"/>
      <c r="CB63" s="436"/>
      <c r="CC63" s="436"/>
      <c r="CD63" s="436"/>
      <c r="CE63" s="437">
        <v>61</v>
      </c>
      <c r="CF63" s="437">
        <v>61</v>
      </c>
      <c r="CG63" s="437">
        <v>61</v>
      </c>
      <c r="CH63" s="437">
        <v>61</v>
      </c>
      <c r="CI63" s="437">
        <v>61</v>
      </c>
      <c r="CJ63" s="437">
        <v>61</v>
      </c>
      <c r="CK63" s="437">
        <v>61</v>
      </c>
      <c r="CL63" s="437">
        <v>61</v>
      </c>
      <c r="CM63" s="437">
        <v>61</v>
      </c>
      <c r="CN63" s="437">
        <v>61</v>
      </c>
      <c r="CO63" s="437">
        <f t="shared" si="1"/>
        <v>95</v>
      </c>
      <c r="CP63" s="438">
        <f ca="1">ROUND(CO63*'1、课程目标与考核方式'!$H$13/100+IF(ISERROR(VLOOKUP(A63,'4、平时成绩'!$A$2:$H$201,8,FALSE)),0,VLOOKUP(A63,'4、平时成绩'!$A$2:$H$201,8,FALSE)),0)</f>
        <v>72</v>
      </c>
    </row>
    <row r="64" s="32" customFormat="1" spans="1:94">
      <c r="A64" s="433" t="s">
        <v>290</v>
      </c>
      <c r="B64" s="434" t="s">
        <v>291</v>
      </c>
      <c r="C64" s="435">
        <v>19</v>
      </c>
      <c r="D64" s="435">
        <v>19</v>
      </c>
      <c r="E64" s="435">
        <v>19</v>
      </c>
      <c r="F64" s="435">
        <v>19</v>
      </c>
      <c r="G64" s="435">
        <v>19</v>
      </c>
      <c r="H64" s="435"/>
      <c r="I64" s="435"/>
      <c r="J64" s="435"/>
      <c r="K64" s="435"/>
      <c r="L64" s="435"/>
      <c r="M64" s="435"/>
      <c r="N64" s="435"/>
      <c r="O64" s="435"/>
      <c r="P64" s="435"/>
      <c r="Q64" s="435"/>
      <c r="R64" s="435"/>
      <c r="S64" s="435"/>
      <c r="T64" s="435"/>
      <c r="U64" s="435"/>
      <c r="V64" s="435"/>
      <c r="W64" s="436"/>
      <c r="X64" s="436"/>
      <c r="Y64" s="436"/>
      <c r="Z64" s="436"/>
      <c r="AA64" s="436"/>
      <c r="AB64" s="436"/>
      <c r="AC64" s="436"/>
      <c r="AD64" s="436"/>
      <c r="AE64" s="436"/>
      <c r="AF64" s="436"/>
      <c r="AG64" s="436"/>
      <c r="AH64" s="436"/>
      <c r="AI64" s="436"/>
      <c r="AJ64" s="436"/>
      <c r="AK64" s="436"/>
      <c r="AL64" s="436"/>
      <c r="AM64" s="436"/>
      <c r="AN64" s="436"/>
      <c r="AO64" s="436"/>
      <c r="AP64" s="436"/>
      <c r="AQ64" s="436"/>
      <c r="AR64" s="436"/>
      <c r="AS64" s="436"/>
      <c r="AT64" s="436"/>
      <c r="AU64" s="436"/>
      <c r="AV64" s="436"/>
      <c r="AW64" s="436"/>
      <c r="AX64" s="436"/>
      <c r="AY64" s="436"/>
      <c r="AZ64" s="436"/>
      <c r="BA64" s="436"/>
      <c r="BB64" s="436"/>
      <c r="BC64" s="436"/>
      <c r="BD64" s="436"/>
      <c r="BE64" s="436"/>
      <c r="BF64" s="436"/>
      <c r="BG64" s="436"/>
      <c r="BH64" s="436"/>
      <c r="BI64" s="436"/>
      <c r="BJ64" s="436"/>
      <c r="BK64" s="436"/>
      <c r="BL64" s="436"/>
      <c r="BM64" s="436"/>
      <c r="BN64" s="436"/>
      <c r="BO64" s="436"/>
      <c r="BP64" s="436"/>
      <c r="BQ64" s="436"/>
      <c r="BR64" s="436"/>
      <c r="BS64" s="436"/>
      <c r="BT64" s="436"/>
      <c r="BU64" s="436"/>
      <c r="BV64" s="436"/>
      <c r="BW64" s="436"/>
      <c r="BX64" s="436"/>
      <c r="BY64" s="436"/>
      <c r="BZ64" s="436"/>
      <c r="CA64" s="436"/>
      <c r="CB64" s="436"/>
      <c r="CC64" s="436"/>
      <c r="CD64" s="436"/>
      <c r="CE64" s="437">
        <v>62</v>
      </c>
      <c r="CF64" s="437">
        <v>62</v>
      </c>
      <c r="CG64" s="437">
        <v>62</v>
      </c>
      <c r="CH64" s="437">
        <v>62</v>
      </c>
      <c r="CI64" s="437">
        <v>62</v>
      </c>
      <c r="CJ64" s="437">
        <v>62</v>
      </c>
      <c r="CK64" s="437">
        <v>62</v>
      </c>
      <c r="CL64" s="437">
        <v>62</v>
      </c>
      <c r="CM64" s="437">
        <v>62</v>
      </c>
      <c r="CN64" s="437">
        <v>62</v>
      </c>
      <c r="CO64" s="437">
        <f t="shared" si="1"/>
        <v>95</v>
      </c>
      <c r="CP64" s="438">
        <f ca="1">ROUND(CO64*'1、课程目标与考核方式'!$H$13/100+IF(ISERROR(VLOOKUP(A64,'4、平时成绩'!$A$2:$H$201,8,FALSE)),0,VLOOKUP(A64,'4、平时成绩'!$A$2:$H$201,8,FALSE)),0)</f>
        <v>68</v>
      </c>
    </row>
    <row r="65" s="32" customFormat="1" spans="1:94">
      <c r="A65" s="433" t="s">
        <v>292</v>
      </c>
      <c r="B65" s="434" t="s">
        <v>293</v>
      </c>
      <c r="C65" s="435">
        <v>19</v>
      </c>
      <c r="D65" s="435">
        <v>19</v>
      </c>
      <c r="E65" s="435">
        <v>19</v>
      </c>
      <c r="F65" s="435">
        <v>19</v>
      </c>
      <c r="G65" s="435">
        <v>19</v>
      </c>
      <c r="H65" s="435"/>
      <c r="I65" s="435"/>
      <c r="J65" s="435"/>
      <c r="K65" s="435"/>
      <c r="L65" s="435"/>
      <c r="M65" s="435"/>
      <c r="N65" s="435"/>
      <c r="O65" s="435"/>
      <c r="P65" s="435"/>
      <c r="Q65" s="435"/>
      <c r="R65" s="435"/>
      <c r="S65" s="435"/>
      <c r="T65" s="435"/>
      <c r="U65" s="435"/>
      <c r="V65" s="435"/>
      <c r="W65" s="436"/>
      <c r="X65" s="436"/>
      <c r="Y65" s="436"/>
      <c r="Z65" s="436"/>
      <c r="AA65" s="436"/>
      <c r="AB65" s="436"/>
      <c r="AC65" s="436"/>
      <c r="AD65" s="436"/>
      <c r="AE65" s="436"/>
      <c r="AF65" s="436"/>
      <c r="AG65" s="436"/>
      <c r="AH65" s="436"/>
      <c r="AI65" s="436"/>
      <c r="AJ65" s="436"/>
      <c r="AK65" s="436"/>
      <c r="AL65" s="436"/>
      <c r="AM65" s="436"/>
      <c r="AN65" s="436"/>
      <c r="AO65" s="436"/>
      <c r="AP65" s="436"/>
      <c r="AQ65" s="436"/>
      <c r="AR65" s="436"/>
      <c r="AS65" s="436"/>
      <c r="AT65" s="436"/>
      <c r="AU65" s="436"/>
      <c r="AV65" s="436"/>
      <c r="AW65" s="436"/>
      <c r="AX65" s="436"/>
      <c r="AY65" s="436"/>
      <c r="AZ65" s="436"/>
      <c r="BA65" s="436"/>
      <c r="BB65" s="436"/>
      <c r="BC65" s="436"/>
      <c r="BD65" s="436"/>
      <c r="BE65" s="436"/>
      <c r="BF65" s="436"/>
      <c r="BG65" s="436"/>
      <c r="BH65" s="436"/>
      <c r="BI65" s="436"/>
      <c r="BJ65" s="436"/>
      <c r="BK65" s="436"/>
      <c r="BL65" s="436"/>
      <c r="BM65" s="436"/>
      <c r="BN65" s="436"/>
      <c r="BO65" s="436"/>
      <c r="BP65" s="436"/>
      <c r="BQ65" s="436"/>
      <c r="BR65" s="436"/>
      <c r="BS65" s="436"/>
      <c r="BT65" s="436"/>
      <c r="BU65" s="436"/>
      <c r="BV65" s="436"/>
      <c r="BW65" s="436"/>
      <c r="BX65" s="436"/>
      <c r="BY65" s="436"/>
      <c r="BZ65" s="436"/>
      <c r="CA65" s="436"/>
      <c r="CB65" s="436"/>
      <c r="CC65" s="436"/>
      <c r="CD65" s="436"/>
      <c r="CE65" s="437">
        <v>63</v>
      </c>
      <c r="CF65" s="437">
        <v>63</v>
      </c>
      <c r="CG65" s="437">
        <v>63</v>
      </c>
      <c r="CH65" s="437">
        <v>63</v>
      </c>
      <c r="CI65" s="437">
        <v>63</v>
      </c>
      <c r="CJ65" s="437">
        <v>63</v>
      </c>
      <c r="CK65" s="437">
        <v>63</v>
      </c>
      <c r="CL65" s="437">
        <v>63</v>
      </c>
      <c r="CM65" s="437">
        <v>63</v>
      </c>
      <c r="CN65" s="437">
        <v>63</v>
      </c>
      <c r="CO65" s="437">
        <f t="shared" si="1"/>
        <v>95</v>
      </c>
      <c r="CP65" s="438">
        <f ca="1">ROUND(CO65*'1、课程目标与考核方式'!$H$13/100+IF(ISERROR(VLOOKUP(A65,'4、平时成绩'!$A$2:$H$201,8,FALSE)),0,VLOOKUP(A65,'4、平时成绩'!$A$2:$H$201,8,FALSE)),0)</f>
        <v>68</v>
      </c>
    </row>
    <row r="66" s="32" customFormat="1" spans="1:94">
      <c r="A66" s="433" t="s">
        <v>294</v>
      </c>
      <c r="B66" s="434" t="s">
        <v>295</v>
      </c>
      <c r="C66" s="435">
        <v>19</v>
      </c>
      <c r="D66" s="435">
        <v>19</v>
      </c>
      <c r="E66" s="435">
        <v>19</v>
      </c>
      <c r="F66" s="435">
        <v>19</v>
      </c>
      <c r="G66" s="435">
        <v>19</v>
      </c>
      <c r="H66" s="435"/>
      <c r="I66" s="435"/>
      <c r="J66" s="435"/>
      <c r="K66" s="435"/>
      <c r="L66" s="435"/>
      <c r="M66" s="435"/>
      <c r="N66" s="435"/>
      <c r="O66" s="435"/>
      <c r="P66" s="435"/>
      <c r="Q66" s="435"/>
      <c r="R66" s="435"/>
      <c r="S66" s="435"/>
      <c r="T66" s="435"/>
      <c r="U66" s="435"/>
      <c r="V66" s="435"/>
      <c r="W66" s="436"/>
      <c r="X66" s="436"/>
      <c r="Y66" s="436"/>
      <c r="Z66" s="436"/>
      <c r="AA66" s="436"/>
      <c r="AB66" s="436"/>
      <c r="AC66" s="436"/>
      <c r="AD66" s="436"/>
      <c r="AE66" s="436"/>
      <c r="AF66" s="436"/>
      <c r="AG66" s="436"/>
      <c r="AH66" s="436"/>
      <c r="AI66" s="436"/>
      <c r="AJ66" s="436"/>
      <c r="AK66" s="436"/>
      <c r="AL66" s="436"/>
      <c r="AM66" s="436"/>
      <c r="AN66" s="436"/>
      <c r="AO66" s="436"/>
      <c r="AP66" s="436"/>
      <c r="AQ66" s="436"/>
      <c r="AR66" s="436"/>
      <c r="AS66" s="436"/>
      <c r="AT66" s="436"/>
      <c r="AU66" s="436"/>
      <c r="AV66" s="436"/>
      <c r="AW66" s="436"/>
      <c r="AX66" s="436"/>
      <c r="AY66" s="436"/>
      <c r="AZ66" s="436"/>
      <c r="BA66" s="436"/>
      <c r="BB66" s="436"/>
      <c r="BC66" s="436"/>
      <c r="BD66" s="436"/>
      <c r="BE66" s="436"/>
      <c r="BF66" s="436"/>
      <c r="BG66" s="436"/>
      <c r="BH66" s="436"/>
      <c r="BI66" s="436"/>
      <c r="BJ66" s="436"/>
      <c r="BK66" s="436"/>
      <c r="BL66" s="436"/>
      <c r="BM66" s="436"/>
      <c r="BN66" s="436"/>
      <c r="BO66" s="436"/>
      <c r="BP66" s="436"/>
      <c r="BQ66" s="436"/>
      <c r="BR66" s="436"/>
      <c r="BS66" s="436"/>
      <c r="BT66" s="436"/>
      <c r="BU66" s="436"/>
      <c r="BV66" s="436"/>
      <c r="BW66" s="436"/>
      <c r="BX66" s="436"/>
      <c r="BY66" s="436"/>
      <c r="BZ66" s="436"/>
      <c r="CA66" s="436"/>
      <c r="CB66" s="436"/>
      <c r="CC66" s="436"/>
      <c r="CD66" s="436"/>
      <c r="CE66" s="437">
        <v>64</v>
      </c>
      <c r="CF66" s="437">
        <v>64</v>
      </c>
      <c r="CG66" s="437">
        <v>64</v>
      </c>
      <c r="CH66" s="437">
        <v>64</v>
      </c>
      <c r="CI66" s="437">
        <v>64</v>
      </c>
      <c r="CJ66" s="437">
        <v>64</v>
      </c>
      <c r="CK66" s="437">
        <v>64</v>
      </c>
      <c r="CL66" s="437">
        <v>64</v>
      </c>
      <c r="CM66" s="437">
        <v>64</v>
      </c>
      <c r="CN66" s="437">
        <v>64</v>
      </c>
      <c r="CO66" s="437">
        <f t="shared" si="1"/>
        <v>95</v>
      </c>
      <c r="CP66" s="438">
        <f ca="1">ROUND(CO66*'1、课程目标与考核方式'!$H$13/100+IF(ISERROR(VLOOKUP(A66,'4、平时成绩'!$A$2:$H$201,8,FALSE)),0,VLOOKUP(A66,'4、平时成绩'!$A$2:$H$201,8,FALSE)),0)</f>
        <v>73</v>
      </c>
    </row>
    <row r="67" s="32" customFormat="1" spans="1:94">
      <c r="A67" s="433" t="s">
        <v>296</v>
      </c>
      <c r="B67" s="434" t="s">
        <v>297</v>
      </c>
      <c r="C67" s="435">
        <v>19</v>
      </c>
      <c r="D67" s="435">
        <v>19</v>
      </c>
      <c r="E67" s="435">
        <v>19</v>
      </c>
      <c r="F67" s="435">
        <v>19</v>
      </c>
      <c r="G67" s="435">
        <v>19</v>
      </c>
      <c r="H67" s="435"/>
      <c r="I67" s="435"/>
      <c r="J67" s="435"/>
      <c r="K67" s="435"/>
      <c r="L67" s="435"/>
      <c r="M67" s="435"/>
      <c r="N67" s="435"/>
      <c r="O67" s="435"/>
      <c r="P67" s="435"/>
      <c r="Q67" s="435"/>
      <c r="R67" s="435"/>
      <c r="S67" s="435"/>
      <c r="T67" s="435"/>
      <c r="U67" s="435"/>
      <c r="V67" s="435"/>
      <c r="W67" s="436"/>
      <c r="X67" s="436"/>
      <c r="Y67" s="436"/>
      <c r="Z67" s="436"/>
      <c r="AA67" s="436"/>
      <c r="AB67" s="436"/>
      <c r="AC67" s="436"/>
      <c r="AD67" s="436"/>
      <c r="AE67" s="436"/>
      <c r="AF67" s="436"/>
      <c r="AG67" s="436"/>
      <c r="AH67" s="436"/>
      <c r="AI67" s="436"/>
      <c r="AJ67" s="436"/>
      <c r="AK67" s="436"/>
      <c r="AL67" s="436"/>
      <c r="AM67" s="436"/>
      <c r="AN67" s="436"/>
      <c r="AO67" s="436"/>
      <c r="AP67" s="436"/>
      <c r="AQ67" s="436"/>
      <c r="AR67" s="436"/>
      <c r="AS67" s="436"/>
      <c r="AT67" s="436"/>
      <c r="AU67" s="436"/>
      <c r="AV67" s="436"/>
      <c r="AW67" s="436"/>
      <c r="AX67" s="436"/>
      <c r="AY67" s="436"/>
      <c r="AZ67" s="436"/>
      <c r="BA67" s="436"/>
      <c r="BB67" s="436"/>
      <c r="BC67" s="436"/>
      <c r="BD67" s="436"/>
      <c r="BE67" s="436"/>
      <c r="BF67" s="436"/>
      <c r="BG67" s="436"/>
      <c r="BH67" s="436"/>
      <c r="BI67" s="436"/>
      <c r="BJ67" s="436"/>
      <c r="BK67" s="436"/>
      <c r="BL67" s="436"/>
      <c r="BM67" s="436"/>
      <c r="BN67" s="436"/>
      <c r="BO67" s="436"/>
      <c r="BP67" s="436"/>
      <c r="BQ67" s="436"/>
      <c r="BR67" s="436"/>
      <c r="BS67" s="436"/>
      <c r="BT67" s="436"/>
      <c r="BU67" s="436"/>
      <c r="BV67" s="436"/>
      <c r="BW67" s="436"/>
      <c r="BX67" s="436"/>
      <c r="BY67" s="436"/>
      <c r="BZ67" s="436"/>
      <c r="CA67" s="436"/>
      <c r="CB67" s="436"/>
      <c r="CC67" s="436"/>
      <c r="CD67" s="436"/>
      <c r="CE67" s="437">
        <v>65</v>
      </c>
      <c r="CF67" s="437">
        <v>65</v>
      </c>
      <c r="CG67" s="437">
        <v>65</v>
      </c>
      <c r="CH67" s="437">
        <v>65</v>
      </c>
      <c r="CI67" s="437">
        <v>65</v>
      </c>
      <c r="CJ67" s="437">
        <v>65</v>
      </c>
      <c r="CK67" s="437">
        <v>65</v>
      </c>
      <c r="CL67" s="437">
        <v>65</v>
      </c>
      <c r="CM67" s="437">
        <v>65</v>
      </c>
      <c r="CN67" s="437">
        <v>65</v>
      </c>
      <c r="CO67" s="437">
        <f t="shared" ref="CO67:CO98" si="2">SUM(C67:CD67)</f>
        <v>95</v>
      </c>
      <c r="CP67" s="438">
        <f ca="1">ROUND(CO67*'1、课程目标与考核方式'!$H$13/100+IF(ISERROR(VLOOKUP(A67,'4、平时成绩'!$A$2:$H$201,8,FALSE)),0,VLOOKUP(A67,'4、平时成绩'!$A$2:$H$201,8,FALSE)),0)</f>
        <v>70</v>
      </c>
    </row>
    <row r="68" s="32" customFormat="1" spans="1:94">
      <c r="A68" s="433" t="s">
        <v>298</v>
      </c>
      <c r="B68" s="434" t="s">
        <v>299</v>
      </c>
      <c r="C68" s="435">
        <v>19</v>
      </c>
      <c r="D68" s="435">
        <v>19</v>
      </c>
      <c r="E68" s="435">
        <v>19</v>
      </c>
      <c r="F68" s="435">
        <v>19</v>
      </c>
      <c r="G68" s="435">
        <v>19</v>
      </c>
      <c r="H68" s="435"/>
      <c r="I68" s="435"/>
      <c r="J68" s="435"/>
      <c r="K68" s="435"/>
      <c r="L68" s="435"/>
      <c r="M68" s="435"/>
      <c r="N68" s="435"/>
      <c r="O68" s="435"/>
      <c r="P68" s="435"/>
      <c r="Q68" s="435"/>
      <c r="R68" s="435"/>
      <c r="S68" s="435"/>
      <c r="T68" s="435"/>
      <c r="U68" s="435"/>
      <c r="V68" s="435"/>
      <c r="W68" s="436"/>
      <c r="X68" s="436"/>
      <c r="Y68" s="436"/>
      <c r="Z68" s="436"/>
      <c r="AA68" s="436"/>
      <c r="AB68" s="436"/>
      <c r="AC68" s="436"/>
      <c r="AD68" s="436"/>
      <c r="AE68" s="436"/>
      <c r="AF68" s="436"/>
      <c r="AG68" s="436"/>
      <c r="AH68" s="436"/>
      <c r="AI68" s="436"/>
      <c r="AJ68" s="436"/>
      <c r="AK68" s="436"/>
      <c r="AL68" s="436"/>
      <c r="AM68" s="436"/>
      <c r="AN68" s="436"/>
      <c r="AO68" s="436"/>
      <c r="AP68" s="436"/>
      <c r="AQ68" s="436"/>
      <c r="AR68" s="436"/>
      <c r="AS68" s="436"/>
      <c r="AT68" s="436"/>
      <c r="AU68" s="436"/>
      <c r="AV68" s="436"/>
      <c r="AW68" s="436"/>
      <c r="AX68" s="436"/>
      <c r="AY68" s="436"/>
      <c r="AZ68" s="436"/>
      <c r="BA68" s="436"/>
      <c r="BB68" s="436"/>
      <c r="BC68" s="436"/>
      <c r="BD68" s="436"/>
      <c r="BE68" s="436"/>
      <c r="BF68" s="436"/>
      <c r="BG68" s="436"/>
      <c r="BH68" s="436"/>
      <c r="BI68" s="436"/>
      <c r="BJ68" s="436"/>
      <c r="BK68" s="436"/>
      <c r="BL68" s="436"/>
      <c r="BM68" s="436"/>
      <c r="BN68" s="436"/>
      <c r="BO68" s="436"/>
      <c r="BP68" s="436"/>
      <c r="BQ68" s="436"/>
      <c r="BR68" s="436"/>
      <c r="BS68" s="436"/>
      <c r="BT68" s="436"/>
      <c r="BU68" s="436"/>
      <c r="BV68" s="436"/>
      <c r="BW68" s="436"/>
      <c r="BX68" s="436"/>
      <c r="BY68" s="436"/>
      <c r="BZ68" s="436"/>
      <c r="CA68" s="436"/>
      <c r="CB68" s="436"/>
      <c r="CC68" s="436"/>
      <c r="CD68" s="436"/>
      <c r="CE68" s="437">
        <v>66</v>
      </c>
      <c r="CF68" s="437">
        <v>66</v>
      </c>
      <c r="CG68" s="437">
        <v>66</v>
      </c>
      <c r="CH68" s="437">
        <v>66</v>
      </c>
      <c r="CI68" s="437">
        <v>66</v>
      </c>
      <c r="CJ68" s="437">
        <v>66</v>
      </c>
      <c r="CK68" s="437">
        <v>66</v>
      </c>
      <c r="CL68" s="437">
        <v>66</v>
      </c>
      <c r="CM68" s="437">
        <v>66</v>
      </c>
      <c r="CN68" s="437">
        <v>66</v>
      </c>
      <c r="CO68" s="437">
        <f t="shared" si="2"/>
        <v>95</v>
      </c>
      <c r="CP68" s="438">
        <f ca="1">ROUND(CO68*'1、课程目标与考核方式'!$H$13/100+IF(ISERROR(VLOOKUP(A68,'4、平时成绩'!$A$2:$H$201,8,FALSE)),0,VLOOKUP(A68,'4、平时成绩'!$A$2:$H$201,8,FALSE)),0)</f>
        <v>72</v>
      </c>
    </row>
    <row r="69" s="32" customFormat="1" spans="1:94">
      <c r="A69" s="433" t="s">
        <v>300</v>
      </c>
      <c r="B69" s="434" t="s">
        <v>301</v>
      </c>
      <c r="C69" s="435">
        <v>19</v>
      </c>
      <c r="D69" s="435">
        <v>19</v>
      </c>
      <c r="E69" s="435">
        <v>19</v>
      </c>
      <c r="F69" s="435">
        <v>19</v>
      </c>
      <c r="G69" s="435">
        <v>19</v>
      </c>
      <c r="H69" s="435"/>
      <c r="I69" s="435"/>
      <c r="J69" s="435"/>
      <c r="K69" s="435"/>
      <c r="L69" s="435"/>
      <c r="M69" s="435"/>
      <c r="N69" s="435"/>
      <c r="O69" s="435"/>
      <c r="P69" s="435"/>
      <c r="Q69" s="435"/>
      <c r="R69" s="435"/>
      <c r="S69" s="435"/>
      <c r="T69" s="435"/>
      <c r="U69" s="435"/>
      <c r="V69" s="435"/>
      <c r="W69" s="436"/>
      <c r="X69" s="436"/>
      <c r="Y69" s="436"/>
      <c r="Z69" s="436"/>
      <c r="AA69" s="436"/>
      <c r="AB69" s="436"/>
      <c r="AC69" s="436"/>
      <c r="AD69" s="436"/>
      <c r="AE69" s="436"/>
      <c r="AF69" s="436"/>
      <c r="AG69" s="436"/>
      <c r="AH69" s="436"/>
      <c r="AI69" s="436"/>
      <c r="AJ69" s="436"/>
      <c r="AK69" s="436"/>
      <c r="AL69" s="436"/>
      <c r="AM69" s="436"/>
      <c r="AN69" s="436"/>
      <c r="AO69" s="436"/>
      <c r="AP69" s="436"/>
      <c r="AQ69" s="436"/>
      <c r="AR69" s="436"/>
      <c r="AS69" s="436"/>
      <c r="AT69" s="436"/>
      <c r="AU69" s="436"/>
      <c r="AV69" s="436"/>
      <c r="AW69" s="436"/>
      <c r="AX69" s="436"/>
      <c r="AY69" s="436"/>
      <c r="AZ69" s="436"/>
      <c r="BA69" s="436"/>
      <c r="BB69" s="436"/>
      <c r="BC69" s="436"/>
      <c r="BD69" s="436"/>
      <c r="BE69" s="436"/>
      <c r="BF69" s="436"/>
      <c r="BG69" s="436"/>
      <c r="BH69" s="436"/>
      <c r="BI69" s="436"/>
      <c r="BJ69" s="436"/>
      <c r="BK69" s="436"/>
      <c r="BL69" s="436"/>
      <c r="BM69" s="436"/>
      <c r="BN69" s="436"/>
      <c r="BO69" s="436"/>
      <c r="BP69" s="436"/>
      <c r="BQ69" s="436"/>
      <c r="BR69" s="436"/>
      <c r="BS69" s="436"/>
      <c r="BT69" s="436"/>
      <c r="BU69" s="436"/>
      <c r="BV69" s="436"/>
      <c r="BW69" s="436"/>
      <c r="BX69" s="436"/>
      <c r="BY69" s="436"/>
      <c r="BZ69" s="436"/>
      <c r="CA69" s="436"/>
      <c r="CB69" s="436"/>
      <c r="CC69" s="436"/>
      <c r="CD69" s="436"/>
      <c r="CE69" s="437">
        <v>67</v>
      </c>
      <c r="CF69" s="437">
        <v>67</v>
      </c>
      <c r="CG69" s="437">
        <v>67</v>
      </c>
      <c r="CH69" s="437">
        <v>67</v>
      </c>
      <c r="CI69" s="437">
        <v>67</v>
      </c>
      <c r="CJ69" s="437">
        <v>67</v>
      </c>
      <c r="CK69" s="437">
        <v>67</v>
      </c>
      <c r="CL69" s="437">
        <v>67</v>
      </c>
      <c r="CM69" s="437">
        <v>67</v>
      </c>
      <c r="CN69" s="437">
        <v>67</v>
      </c>
      <c r="CO69" s="437">
        <f t="shared" si="2"/>
        <v>95</v>
      </c>
      <c r="CP69" s="438">
        <f ca="1">ROUND(CO69*'1、课程目标与考核方式'!$H$13/100+IF(ISERROR(VLOOKUP(A69,'4、平时成绩'!$A$2:$H$201,8,FALSE)),0,VLOOKUP(A69,'4、平时成绩'!$A$2:$H$201,8,FALSE)),0)</f>
        <v>68</v>
      </c>
    </row>
    <row r="70" s="32" customFormat="1" spans="1:94">
      <c r="A70" s="433" t="s">
        <v>302</v>
      </c>
      <c r="B70" s="434" t="s">
        <v>303</v>
      </c>
      <c r="C70" s="435">
        <v>19</v>
      </c>
      <c r="D70" s="435">
        <v>19</v>
      </c>
      <c r="E70" s="435">
        <v>19</v>
      </c>
      <c r="F70" s="435">
        <v>19</v>
      </c>
      <c r="G70" s="435">
        <v>19</v>
      </c>
      <c r="H70" s="435"/>
      <c r="I70" s="435"/>
      <c r="J70" s="435"/>
      <c r="K70" s="435"/>
      <c r="L70" s="435"/>
      <c r="M70" s="435"/>
      <c r="N70" s="435"/>
      <c r="O70" s="435"/>
      <c r="P70" s="435"/>
      <c r="Q70" s="435"/>
      <c r="R70" s="435"/>
      <c r="S70" s="435"/>
      <c r="T70" s="435"/>
      <c r="U70" s="435"/>
      <c r="V70" s="435"/>
      <c r="W70" s="436"/>
      <c r="X70" s="436"/>
      <c r="Y70" s="436"/>
      <c r="Z70" s="436"/>
      <c r="AA70" s="436"/>
      <c r="AB70" s="436"/>
      <c r="AC70" s="436"/>
      <c r="AD70" s="436"/>
      <c r="AE70" s="436"/>
      <c r="AF70" s="436"/>
      <c r="AG70" s="436"/>
      <c r="AH70" s="436"/>
      <c r="AI70" s="436"/>
      <c r="AJ70" s="436"/>
      <c r="AK70" s="436"/>
      <c r="AL70" s="436"/>
      <c r="AM70" s="436"/>
      <c r="AN70" s="436"/>
      <c r="AO70" s="436"/>
      <c r="AP70" s="436"/>
      <c r="AQ70" s="436"/>
      <c r="AR70" s="436"/>
      <c r="AS70" s="436"/>
      <c r="AT70" s="436"/>
      <c r="AU70" s="436"/>
      <c r="AV70" s="436"/>
      <c r="AW70" s="436"/>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6"/>
      <c r="BY70" s="436"/>
      <c r="BZ70" s="436"/>
      <c r="CA70" s="436"/>
      <c r="CB70" s="436"/>
      <c r="CC70" s="436"/>
      <c r="CD70" s="436"/>
      <c r="CE70" s="437">
        <v>68</v>
      </c>
      <c r="CF70" s="437">
        <v>68</v>
      </c>
      <c r="CG70" s="437">
        <v>68</v>
      </c>
      <c r="CH70" s="437">
        <v>68</v>
      </c>
      <c r="CI70" s="437">
        <v>68</v>
      </c>
      <c r="CJ70" s="437">
        <v>68</v>
      </c>
      <c r="CK70" s="437">
        <v>68</v>
      </c>
      <c r="CL70" s="437">
        <v>68</v>
      </c>
      <c r="CM70" s="437">
        <v>68</v>
      </c>
      <c r="CN70" s="437">
        <v>68</v>
      </c>
      <c r="CO70" s="437">
        <f t="shared" si="2"/>
        <v>95</v>
      </c>
      <c r="CP70" s="438">
        <f ca="1">ROUND(CO70*'1、课程目标与考核方式'!$H$13/100+IF(ISERROR(VLOOKUP(A70,'4、平时成绩'!$A$2:$H$201,8,FALSE)),0,VLOOKUP(A70,'4、平时成绩'!$A$2:$H$201,8,FALSE)),0)</f>
        <v>70</v>
      </c>
    </row>
    <row r="71" s="422" customFormat="1" spans="1:94">
      <c r="A71" s="433" t="s">
        <v>304</v>
      </c>
      <c r="B71" s="434" t="s">
        <v>305</v>
      </c>
      <c r="C71" s="435">
        <v>19</v>
      </c>
      <c r="D71" s="435">
        <v>19</v>
      </c>
      <c r="E71" s="435">
        <v>19</v>
      </c>
      <c r="F71" s="435">
        <v>19</v>
      </c>
      <c r="G71" s="435">
        <v>19</v>
      </c>
      <c r="H71" s="439"/>
      <c r="I71" s="439"/>
      <c r="J71" s="439"/>
      <c r="K71" s="439"/>
      <c r="L71" s="439"/>
      <c r="M71" s="435"/>
      <c r="N71" s="435"/>
      <c r="O71" s="435"/>
      <c r="P71" s="435"/>
      <c r="Q71" s="435"/>
      <c r="R71" s="435"/>
      <c r="S71" s="435"/>
      <c r="T71" s="435"/>
      <c r="U71" s="435"/>
      <c r="V71" s="435"/>
      <c r="W71" s="445"/>
      <c r="X71" s="445"/>
      <c r="Y71" s="445"/>
      <c r="Z71" s="445"/>
      <c r="AA71" s="445"/>
      <c r="AB71" s="445"/>
      <c r="AC71" s="445"/>
      <c r="AD71" s="445"/>
      <c r="AE71" s="445"/>
      <c r="AF71" s="445"/>
      <c r="AG71" s="445"/>
      <c r="AH71" s="445"/>
      <c r="AI71" s="445"/>
      <c r="AJ71" s="445"/>
      <c r="AK71" s="445"/>
      <c r="AL71" s="445"/>
      <c r="AM71" s="445"/>
      <c r="AN71" s="445"/>
      <c r="AO71" s="445"/>
      <c r="AP71" s="445"/>
      <c r="AQ71" s="445"/>
      <c r="AR71" s="445"/>
      <c r="AS71" s="445"/>
      <c r="AT71" s="445"/>
      <c r="AU71" s="445"/>
      <c r="AV71" s="445"/>
      <c r="AW71" s="445"/>
      <c r="AX71" s="445"/>
      <c r="AY71" s="445"/>
      <c r="AZ71" s="445"/>
      <c r="BA71" s="445"/>
      <c r="BB71" s="445"/>
      <c r="BC71" s="445"/>
      <c r="BD71" s="445"/>
      <c r="BE71" s="445"/>
      <c r="BF71" s="445"/>
      <c r="BG71" s="445"/>
      <c r="BH71" s="445"/>
      <c r="BI71" s="445"/>
      <c r="BJ71" s="445"/>
      <c r="BK71" s="445"/>
      <c r="BL71" s="445"/>
      <c r="BM71" s="445"/>
      <c r="BN71" s="445"/>
      <c r="BO71" s="445"/>
      <c r="BP71" s="445"/>
      <c r="BQ71" s="445"/>
      <c r="BR71" s="445"/>
      <c r="BS71" s="445"/>
      <c r="BT71" s="445"/>
      <c r="BU71" s="445"/>
      <c r="BV71" s="445"/>
      <c r="BW71" s="445"/>
      <c r="BX71" s="445"/>
      <c r="BY71" s="445"/>
      <c r="BZ71" s="445"/>
      <c r="CA71" s="445"/>
      <c r="CB71" s="445"/>
      <c r="CC71" s="445"/>
      <c r="CD71" s="445"/>
      <c r="CE71" s="446">
        <v>69</v>
      </c>
      <c r="CF71" s="446">
        <v>69</v>
      </c>
      <c r="CG71" s="446">
        <v>69</v>
      </c>
      <c r="CH71" s="446">
        <v>69</v>
      </c>
      <c r="CI71" s="446">
        <v>69</v>
      </c>
      <c r="CJ71" s="446">
        <v>69</v>
      </c>
      <c r="CK71" s="446">
        <v>69</v>
      </c>
      <c r="CL71" s="446">
        <v>69</v>
      </c>
      <c r="CM71" s="446">
        <v>69</v>
      </c>
      <c r="CN71" s="446">
        <v>69</v>
      </c>
      <c r="CO71" s="446">
        <f t="shared" si="2"/>
        <v>95</v>
      </c>
      <c r="CP71" s="447">
        <f ca="1">ROUND(CO71*'1、课程目标与考核方式'!$H$13/100+IF(ISERROR(VLOOKUP(A71,'4、平时成绩'!$A$2:$H$201,8,FALSE)),0,VLOOKUP(A71,'4、平时成绩'!$A$2:$H$201,8,FALSE)),0)</f>
        <v>73</v>
      </c>
    </row>
    <row r="72" s="32" customFormat="1" spans="1:94">
      <c r="A72" s="440"/>
      <c r="B72" s="440"/>
      <c r="C72" s="441"/>
      <c r="D72" s="436"/>
      <c r="E72" s="436"/>
      <c r="F72" s="436"/>
      <c r="G72" s="436"/>
      <c r="H72" s="436"/>
      <c r="I72" s="436"/>
      <c r="J72" s="436"/>
      <c r="K72" s="436"/>
      <c r="L72" s="436"/>
      <c r="M72" s="436"/>
      <c r="N72" s="436"/>
      <c r="O72" s="436"/>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c r="AO72" s="436"/>
      <c r="AP72" s="436"/>
      <c r="AQ72" s="436"/>
      <c r="AR72" s="436"/>
      <c r="AS72" s="436"/>
      <c r="AT72" s="436"/>
      <c r="AU72" s="436"/>
      <c r="AV72" s="436"/>
      <c r="AW72" s="436"/>
      <c r="AX72" s="436"/>
      <c r="AY72" s="436"/>
      <c r="AZ72" s="436"/>
      <c r="BA72" s="436"/>
      <c r="BB72" s="436"/>
      <c r="BC72" s="436"/>
      <c r="BD72" s="436"/>
      <c r="BE72" s="436"/>
      <c r="BF72" s="436"/>
      <c r="BG72" s="436"/>
      <c r="BH72" s="436"/>
      <c r="BI72" s="436"/>
      <c r="BJ72" s="436"/>
      <c r="BK72" s="436"/>
      <c r="BL72" s="436"/>
      <c r="BM72" s="436"/>
      <c r="BN72" s="436"/>
      <c r="BO72" s="436"/>
      <c r="BP72" s="436"/>
      <c r="BQ72" s="436"/>
      <c r="BR72" s="436"/>
      <c r="BS72" s="436"/>
      <c r="BT72" s="436"/>
      <c r="BU72" s="436"/>
      <c r="BV72" s="436"/>
      <c r="BW72" s="436"/>
      <c r="BX72" s="436"/>
      <c r="BY72" s="436"/>
      <c r="BZ72" s="436"/>
      <c r="CA72" s="436"/>
      <c r="CB72" s="436"/>
      <c r="CC72" s="436"/>
      <c r="CD72" s="436"/>
      <c r="CE72" s="437">
        <f>SUM(IF(COLUMN($C72:$CD72)&lt;(3+'2、试卷（期末）'!$B$2),$C72:$CD72,))</f>
        <v>0</v>
      </c>
      <c r="CF72" s="437">
        <f>SUM(IF(COLUMN($C72:$CD72)&lt;(3+SUM('2、试卷（期末）'!$B$2:$B$3)),$C72:$CD72,))-$CE72</f>
        <v>0</v>
      </c>
      <c r="CG72" s="437">
        <f>SUM(IF(COLUMN($C72:$CD72)&lt;(3+SUM('2、试卷（期末）'!$B$2:$B$4)),$C72:$CD72,))-SUM($CE72:$CF72)</f>
        <v>0</v>
      </c>
      <c r="CH72" s="437">
        <f>SUM(IF(COLUMN($C72:$CD72)&lt;(3+SUM('2、试卷（期末）'!$B$2:$B$5)),$C72:$CD72,))-SUM($CE72:$CG72)</f>
        <v>0</v>
      </c>
      <c r="CI72" s="437">
        <f>SUM(IF(COLUMN($C72:$CD72)&lt;(3+SUM('2、试卷（期末）'!$B$2:$B$6)),$C72:$CD72,))-SUM($CE72:$CH72)</f>
        <v>0</v>
      </c>
      <c r="CJ72" s="437">
        <f>SUM(IF(COLUMN($C72:$CD72)&lt;(3+SUM('2、试卷（期末）'!$B$2:$B$7)),$C72:$CD72,))-SUM($CE72:$CI72)</f>
        <v>0</v>
      </c>
      <c r="CK72" s="437">
        <f>SUM(IF(COLUMN($C72:$CD72)&lt;(3+SUM('2、试卷（期末）'!$B$2:$B$8)),$C72:$CD72,))-SUM($CE72:$CJ72)</f>
        <v>0</v>
      </c>
      <c r="CL72" s="437">
        <f>SUM(IF(COLUMN($C72:$CD72)&lt;(3+SUM('2、试卷（期末）'!$B$2:$B$9)),$C72:$CD72,))-SUM($CE72:$CK72)</f>
        <v>0</v>
      </c>
      <c r="CM72" s="437">
        <f>SUM(IF(COLUMN($C72:$CD72)&lt;(3+SUM('2、试卷（期末）'!$B$2:$B$10)),$C72:$CD72,))-SUM($CE72:$CL72)</f>
        <v>0</v>
      </c>
      <c r="CN72" s="437">
        <f>SUM(IF(COLUMN($C72:$CD72)&lt;(3+SUM('2、试卷（期末）'!$B$2:$B$11)),$C72:$CD72,))-SUM($CE72:$CM72)</f>
        <v>0</v>
      </c>
      <c r="CO72" s="437">
        <f t="shared" si="2"/>
        <v>0</v>
      </c>
      <c r="CP72" s="438">
        <f ca="1">ROUND(CO72*'1、课程目标与考核方式'!$H$13/100+IF(ISERROR(VLOOKUP(A72,'4、平时成绩'!$A$2:$H$201,8,FALSE)),0,VLOOKUP(A72,'4、平时成绩'!$A$2:$H$201,8,FALSE)),0)</f>
        <v>0</v>
      </c>
    </row>
    <row r="73" s="32" customFormat="1" spans="1:94">
      <c r="A73" s="440"/>
      <c r="B73" s="440"/>
      <c r="C73" s="441"/>
      <c r="D73" s="436"/>
      <c r="E73" s="436"/>
      <c r="F73" s="436"/>
      <c r="G73" s="436"/>
      <c r="H73" s="436"/>
      <c r="I73" s="436"/>
      <c r="J73" s="436"/>
      <c r="K73" s="436"/>
      <c r="L73" s="436"/>
      <c r="M73" s="436"/>
      <c r="N73" s="436"/>
      <c r="O73" s="436"/>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c r="AO73" s="436"/>
      <c r="AP73" s="436"/>
      <c r="AQ73" s="436"/>
      <c r="AR73" s="436"/>
      <c r="AS73" s="436"/>
      <c r="AT73" s="436"/>
      <c r="AU73" s="436"/>
      <c r="AV73" s="436"/>
      <c r="AW73" s="436"/>
      <c r="AX73" s="436"/>
      <c r="AY73" s="436"/>
      <c r="AZ73" s="436"/>
      <c r="BA73" s="436"/>
      <c r="BB73" s="436"/>
      <c r="BC73" s="436"/>
      <c r="BD73" s="436"/>
      <c r="BE73" s="436"/>
      <c r="BF73" s="436"/>
      <c r="BG73" s="436"/>
      <c r="BH73" s="436"/>
      <c r="BI73" s="436"/>
      <c r="BJ73" s="436"/>
      <c r="BK73" s="436"/>
      <c r="BL73" s="436"/>
      <c r="BM73" s="436"/>
      <c r="BN73" s="436"/>
      <c r="BO73" s="436"/>
      <c r="BP73" s="436"/>
      <c r="BQ73" s="436"/>
      <c r="BR73" s="436"/>
      <c r="BS73" s="436"/>
      <c r="BT73" s="436"/>
      <c r="BU73" s="436"/>
      <c r="BV73" s="436"/>
      <c r="BW73" s="436"/>
      <c r="BX73" s="436"/>
      <c r="BY73" s="436"/>
      <c r="BZ73" s="436"/>
      <c r="CA73" s="436"/>
      <c r="CB73" s="436"/>
      <c r="CC73" s="436"/>
      <c r="CD73" s="436"/>
      <c r="CE73" s="437">
        <f>SUM(IF(COLUMN($C73:$CD73)&lt;(3+'2、试卷（期末）'!$B$2),$C73:$CD73,))</f>
        <v>0</v>
      </c>
      <c r="CF73" s="437">
        <f>SUM(IF(COLUMN($C73:$CD73)&lt;(3+SUM('2、试卷（期末）'!$B$2:$B$3)),$C73:$CD73,))-$CE73</f>
        <v>0</v>
      </c>
      <c r="CG73" s="437">
        <f>SUM(IF(COLUMN($C73:$CD73)&lt;(3+SUM('2、试卷（期末）'!$B$2:$B$4)),$C73:$CD73,))-SUM($CE73:$CF73)</f>
        <v>0</v>
      </c>
      <c r="CH73" s="437">
        <f>SUM(IF(COLUMN($C73:$CD73)&lt;(3+SUM('2、试卷（期末）'!$B$2:$B$5)),$C73:$CD73,))-SUM($CE73:$CG73)</f>
        <v>0</v>
      </c>
      <c r="CI73" s="437">
        <f>SUM(IF(COLUMN($C73:$CD73)&lt;(3+SUM('2、试卷（期末）'!$B$2:$B$6)),$C73:$CD73,))-SUM($CE73:$CH73)</f>
        <v>0</v>
      </c>
      <c r="CJ73" s="437">
        <f>SUM(IF(COLUMN($C73:$CD73)&lt;(3+SUM('2、试卷（期末）'!$B$2:$B$7)),$C73:$CD73,))-SUM($CE73:$CI73)</f>
        <v>0</v>
      </c>
      <c r="CK73" s="437">
        <f>SUM(IF(COLUMN($C73:$CD73)&lt;(3+SUM('2、试卷（期末）'!$B$2:$B$8)),$C73:$CD73,))-SUM($CE73:$CJ73)</f>
        <v>0</v>
      </c>
      <c r="CL73" s="437">
        <f>SUM(IF(COLUMN($C73:$CD73)&lt;(3+SUM('2、试卷（期末）'!$B$2:$B$9)),$C73:$CD73,))-SUM($CE73:$CK73)</f>
        <v>0</v>
      </c>
      <c r="CM73" s="437">
        <f>SUM(IF(COLUMN($C73:$CD73)&lt;(3+SUM('2、试卷（期末）'!$B$2:$B$10)),$C73:$CD73,))-SUM($CE73:$CL73)</f>
        <v>0</v>
      </c>
      <c r="CN73" s="437">
        <f>SUM(IF(COLUMN($C73:$CD73)&lt;(3+SUM('2、试卷（期末）'!$B$2:$B$11)),$C73:$CD73,))-SUM($CE73:$CM73)</f>
        <v>0</v>
      </c>
      <c r="CO73" s="437">
        <f t="shared" si="2"/>
        <v>0</v>
      </c>
      <c r="CP73" s="438">
        <f ca="1">ROUND(CO73*'1、课程目标与考核方式'!$H$13/100+IF(ISERROR(VLOOKUP(A73,'4、平时成绩'!$A$2:$H$201,8,FALSE)),0,VLOOKUP(A73,'4、平时成绩'!$A$2:$H$201,8,FALSE)),0)</f>
        <v>0</v>
      </c>
    </row>
    <row r="74" s="32" customFormat="1" spans="1:94">
      <c r="A74" s="440"/>
      <c r="B74" s="440"/>
      <c r="C74" s="441"/>
      <c r="D74" s="436"/>
      <c r="E74" s="436"/>
      <c r="F74" s="436"/>
      <c r="G74" s="436"/>
      <c r="H74" s="436"/>
      <c r="I74" s="436"/>
      <c r="J74" s="436"/>
      <c r="K74" s="436"/>
      <c r="L74" s="436"/>
      <c r="M74" s="436"/>
      <c r="N74" s="436"/>
      <c r="O74" s="436"/>
      <c r="P74" s="436"/>
      <c r="Q74" s="436"/>
      <c r="R74" s="436"/>
      <c r="S74" s="436"/>
      <c r="T74" s="436"/>
      <c r="U74" s="436"/>
      <c r="V74" s="436"/>
      <c r="W74" s="436"/>
      <c r="X74" s="436"/>
      <c r="Y74" s="436"/>
      <c r="Z74" s="436"/>
      <c r="AA74" s="436"/>
      <c r="AB74" s="436"/>
      <c r="AC74" s="436"/>
      <c r="AD74" s="436"/>
      <c r="AE74" s="436"/>
      <c r="AF74" s="436"/>
      <c r="AG74" s="436"/>
      <c r="AH74" s="436"/>
      <c r="AI74" s="436"/>
      <c r="AJ74" s="436"/>
      <c r="AK74" s="436"/>
      <c r="AL74" s="436"/>
      <c r="AM74" s="436"/>
      <c r="AN74" s="436"/>
      <c r="AO74" s="436"/>
      <c r="AP74" s="436"/>
      <c r="AQ74" s="436"/>
      <c r="AR74" s="436"/>
      <c r="AS74" s="436"/>
      <c r="AT74" s="436"/>
      <c r="AU74" s="436"/>
      <c r="AV74" s="436"/>
      <c r="AW74" s="436"/>
      <c r="AX74" s="436"/>
      <c r="AY74" s="436"/>
      <c r="AZ74" s="436"/>
      <c r="BA74" s="436"/>
      <c r="BB74" s="436"/>
      <c r="BC74" s="436"/>
      <c r="BD74" s="436"/>
      <c r="BE74" s="436"/>
      <c r="BF74" s="436"/>
      <c r="BG74" s="436"/>
      <c r="BH74" s="436"/>
      <c r="BI74" s="436"/>
      <c r="BJ74" s="436"/>
      <c r="BK74" s="436"/>
      <c r="BL74" s="436"/>
      <c r="BM74" s="436"/>
      <c r="BN74" s="436"/>
      <c r="BO74" s="436"/>
      <c r="BP74" s="436"/>
      <c r="BQ74" s="436"/>
      <c r="BR74" s="436"/>
      <c r="BS74" s="436"/>
      <c r="BT74" s="436"/>
      <c r="BU74" s="436"/>
      <c r="BV74" s="436"/>
      <c r="BW74" s="436"/>
      <c r="BX74" s="436"/>
      <c r="BY74" s="436"/>
      <c r="BZ74" s="436"/>
      <c r="CA74" s="436"/>
      <c r="CB74" s="436"/>
      <c r="CC74" s="436"/>
      <c r="CD74" s="436"/>
      <c r="CE74" s="437">
        <f>SUM(IF(COLUMN($C74:$CD74)&lt;(3+'2、试卷（期末）'!$B$2),$C74:$CD74,))</f>
        <v>0</v>
      </c>
      <c r="CF74" s="437">
        <f>SUM(IF(COLUMN($C74:$CD74)&lt;(3+SUM('2、试卷（期末）'!$B$2:$B$3)),$C74:$CD74,))-$CE74</f>
        <v>0</v>
      </c>
      <c r="CG74" s="437">
        <f>SUM(IF(COLUMN($C74:$CD74)&lt;(3+SUM('2、试卷（期末）'!$B$2:$B$4)),$C74:$CD74,))-SUM($CE74:$CF74)</f>
        <v>0</v>
      </c>
      <c r="CH74" s="437">
        <f>SUM(IF(COLUMN($C74:$CD74)&lt;(3+SUM('2、试卷（期末）'!$B$2:$B$5)),$C74:$CD74,))-SUM($CE74:$CG74)</f>
        <v>0</v>
      </c>
      <c r="CI74" s="437">
        <f>SUM(IF(COLUMN($C74:$CD74)&lt;(3+SUM('2、试卷（期末）'!$B$2:$B$6)),$C74:$CD74,))-SUM($CE74:$CH74)</f>
        <v>0</v>
      </c>
      <c r="CJ74" s="437">
        <f>SUM(IF(COLUMN($C74:$CD74)&lt;(3+SUM('2、试卷（期末）'!$B$2:$B$7)),$C74:$CD74,))-SUM($CE74:$CI74)</f>
        <v>0</v>
      </c>
      <c r="CK74" s="437">
        <f>SUM(IF(COLUMN($C74:$CD74)&lt;(3+SUM('2、试卷（期末）'!$B$2:$B$8)),$C74:$CD74,))-SUM($CE74:$CJ74)</f>
        <v>0</v>
      </c>
      <c r="CL74" s="437">
        <f>SUM(IF(COLUMN($C74:$CD74)&lt;(3+SUM('2、试卷（期末）'!$B$2:$B$9)),$C74:$CD74,))-SUM($CE74:$CK74)</f>
        <v>0</v>
      </c>
      <c r="CM74" s="437">
        <f>SUM(IF(COLUMN($C74:$CD74)&lt;(3+SUM('2、试卷（期末）'!$B$2:$B$10)),$C74:$CD74,))-SUM($CE74:$CL74)</f>
        <v>0</v>
      </c>
      <c r="CN74" s="437">
        <f>SUM(IF(COLUMN($C74:$CD74)&lt;(3+SUM('2、试卷（期末）'!$B$2:$B$11)),$C74:$CD74,))-SUM($CE74:$CM74)</f>
        <v>0</v>
      </c>
      <c r="CO74" s="437">
        <f t="shared" si="2"/>
        <v>0</v>
      </c>
      <c r="CP74" s="438">
        <f ca="1">ROUND(CO74*'1、课程目标与考核方式'!$H$13/100+IF(ISERROR(VLOOKUP(A74,'4、平时成绩'!$A$2:$H$201,8,FALSE)),0,VLOOKUP(A74,'4、平时成绩'!$A$2:$H$201,8,FALSE)),0)</f>
        <v>0</v>
      </c>
    </row>
    <row r="75" s="32" customFormat="1" spans="1:94">
      <c r="A75" s="440"/>
      <c r="B75" s="440"/>
      <c r="C75" s="441"/>
      <c r="D75" s="436"/>
      <c r="E75" s="436"/>
      <c r="F75" s="436"/>
      <c r="G75" s="436"/>
      <c r="H75" s="436"/>
      <c r="I75" s="436"/>
      <c r="J75" s="436"/>
      <c r="K75" s="436"/>
      <c r="L75" s="436"/>
      <c r="M75" s="436"/>
      <c r="N75" s="436"/>
      <c r="O75" s="436"/>
      <c r="P75" s="436"/>
      <c r="Q75" s="436"/>
      <c r="R75" s="436"/>
      <c r="S75" s="436"/>
      <c r="T75" s="436"/>
      <c r="U75" s="436"/>
      <c r="V75" s="436"/>
      <c r="W75" s="436"/>
      <c r="X75" s="436"/>
      <c r="Y75" s="436"/>
      <c r="Z75" s="436"/>
      <c r="AA75" s="436"/>
      <c r="AB75" s="436"/>
      <c r="AC75" s="436"/>
      <c r="AD75" s="436"/>
      <c r="AE75" s="436"/>
      <c r="AF75" s="436"/>
      <c r="AG75" s="436"/>
      <c r="AH75" s="436"/>
      <c r="AI75" s="436"/>
      <c r="AJ75" s="436"/>
      <c r="AK75" s="436"/>
      <c r="AL75" s="436"/>
      <c r="AM75" s="436"/>
      <c r="AN75" s="436"/>
      <c r="AO75" s="436"/>
      <c r="AP75" s="436"/>
      <c r="AQ75" s="436"/>
      <c r="AR75" s="436"/>
      <c r="AS75" s="436"/>
      <c r="AT75" s="436"/>
      <c r="AU75" s="436"/>
      <c r="AV75" s="436"/>
      <c r="AW75" s="436"/>
      <c r="AX75" s="436"/>
      <c r="AY75" s="436"/>
      <c r="AZ75" s="436"/>
      <c r="BA75" s="436"/>
      <c r="BB75" s="436"/>
      <c r="BC75" s="436"/>
      <c r="BD75" s="436"/>
      <c r="BE75" s="436"/>
      <c r="BF75" s="436"/>
      <c r="BG75" s="436"/>
      <c r="BH75" s="436"/>
      <c r="BI75" s="436"/>
      <c r="BJ75" s="436"/>
      <c r="BK75" s="436"/>
      <c r="BL75" s="436"/>
      <c r="BM75" s="436"/>
      <c r="BN75" s="436"/>
      <c r="BO75" s="436"/>
      <c r="BP75" s="436"/>
      <c r="BQ75" s="436"/>
      <c r="BR75" s="436"/>
      <c r="BS75" s="436"/>
      <c r="BT75" s="436"/>
      <c r="BU75" s="436"/>
      <c r="BV75" s="436"/>
      <c r="BW75" s="436"/>
      <c r="BX75" s="436"/>
      <c r="BY75" s="436"/>
      <c r="BZ75" s="436"/>
      <c r="CA75" s="436"/>
      <c r="CB75" s="436"/>
      <c r="CC75" s="436"/>
      <c r="CD75" s="436"/>
      <c r="CE75" s="437">
        <f>SUM(IF(COLUMN($C75:$CD75)&lt;(3+'2、试卷（期末）'!$B$2),$C75:$CD75,))</f>
        <v>0</v>
      </c>
      <c r="CF75" s="437">
        <f>SUM(IF(COLUMN($C75:$CD75)&lt;(3+SUM('2、试卷（期末）'!$B$2:$B$3)),$C75:$CD75,))-$CE75</f>
        <v>0</v>
      </c>
      <c r="CG75" s="437">
        <f>SUM(IF(COLUMN($C75:$CD75)&lt;(3+SUM('2、试卷（期末）'!$B$2:$B$4)),$C75:$CD75,))-SUM($CE75:$CF75)</f>
        <v>0</v>
      </c>
      <c r="CH75" s="437">
        <f>SUM(IF(COLUMN($C75:$CD75)&lt;(3+SUM('2、试卷（期末）'!$B$2:$B$5)),$C75:$CD75,))-SUM($CE75:$CG75)</f>
        <v>0</v>
      </c>
      <c r="CI75" s="437">
        <f>SUM(IF(COLUMN($C75:$CD75)&lt;(3+SUM('2、试卷（期末）'!$B$2:$B$6)),$C75:$CD75,))-SUM($CE75:$CH75)</f>
        <v>0</v>
      </c>
      <c r="CJ75" s="437">
        <f>SUM(IF(COLUMN($C75:$CD75)&lt;(3+SUM('2、试卷（期末）'!$B$2:$B$7)),$C75:$CD75,))-SUM($CE75:$CI75)</f>
        <v>0</v>
      </c>
      <c r="CK75" s="437">
        <f>SUM(IF(COLUMN($C75:$CD75)&lt;(3+SUM('2、试卷（期末）'!$B$2:$B$8)),$C75:$CD75,))-SUM($CE75:$CJ75)</f>
        <v>0</v>
      </c>
      <c r="CL75" s="437">
        <f>SUM(IF(COLUMN($C75:$CD75)&lt;(3+SUM('2、试卷（期末）'!$B$2:$B$9)),$C75:$CD75,))-SUM($CE75:$CK75)</f>
        <v>0</v>
      </c>
      <c r="CM75" s="437">
        <f>SUM(IF(COLUMN($C75:$CD75)&lt;(3+SUM('2、试卷（期末）'!$B$2:$B$10)),$C75:$CD75,))-SUM($CE75:$CL75)</f>
        <v>0</v>
      </c>
      <c r="CN75" s="437">
        <f>SUM(IF(COLUMN($C75:$CD75)&lt;(3+SUM('2、试卷（期末）'!$B$2:$B$11)),$C75:$CD75,))-SUM($CE75:$CM75)</f>
        <v>0</v>
      </c>
      <c r="CO75" s="437">
        <f t="shared" si="2"/>
        <v>0</v>
      </c>
      <c r="CP75" s="438">
        <f ca="1">ROUND(CO75*'1、课程目标与考核方式'!$H$13/100+IF(ISERROR(VLOOKUP(A75,'4、平时成绩'!$A$2:$H$201,8,FALSE)),0,VLOOKUP(A75,'4、平时成绩'!$A$2:$H$201,8,FALSE)),0)</f>
        <v>0</v>
      </c>
    </row>
    <row r="76" s="32" customFormat="1" spans="1:94">
      <c r="A76" s="440"/>
      <c r="B76" s="440"/>
      <c r="C76" s="441"/>
      <c r="D76" s="436"/>
      <c r="E76" s="436"/>
      <c r="F76" s="436"/>
      <c r="G76" s="436"/>
      <c r="H76" s="436"/>
      <c r="I76" s="436"/>
      <c r="J76" s="436"/>
      <c r="K76" s="436"/>
      <c r="L76" s="436"/>
      <c r="M76" s="436"/>
      <c r="N76" s="436"/>
      <c r="O76" s="436"/>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c r="AO76" s="436"/>
      <c r="AP76" s="436"/>
      <c r="AQ76" s="436"/>
      <c r="AR76" s="436"/>
      <c r="AS76" s="436"/>
      <c r="AT76" s="436"/>
      <c r="AU76" s="436"/>
      <c r="AV76" s="436"/>
      <c r="AW76" s="436"/>
      <c r="AX76" s="436"/>
      <c r="AY76" s="436"/>
      <c r="AZ76" s="436"/>
      <c r="BA76" s="436"/>
      <c r="BB76" s="436"/>
      <c r="BC76" s="436"/>
      <c r="BD76" s="436"/>
      <c r="BE76" s="436"/>
      <c r="BF76" s="436"/>
      <c r="BG76" s="436"/>
      <c r="BH76" s="436"/>
      <c r="BI76" s="436"/>
      <c r="BJ76" s="436"/>
      <c r="BK76" s="436"/>
      <c r="BL76" s="436"/>
      <c r="BM76" s="436"/>
      <c r="BN76" s="436"/>
      <c r="BO76" s="436"/>
      <c r="BP76" s="436"/>
      <c r="BQ76" s="436"/>
      <c r="BR76" s="436"/>
      <c r="BS76" s="436"/>
      <c r="BT76" s="436"/>
      <c r="BU76" s="436"/>
      <c r="BV76" s="436"/>
      <c r="BW76" s="436"/>
      <c r="BX76" s="436"/>
      <c r="BY76" s="436"/>
      <c r="BZ76" s="436"/>
      <c r="CA76" s="436"/>
      <c r="CB76" s="436"/>
      <c r="CC76" s="436"/>
      <c r="CD76" s="436"/>
      <c r="CE76" s="437">
        <f>SUM(IF(COLUMN($C76:$CD76)&lt;(3+'2、试卷（期末）'!$B$2),$C76:$CD76,))</f>
        <v>0</v>
      </c>
      <c r="CF76" s="437">
        <f>SUM(IF(COLUMN($C76:$CD76)&lt;(3+SUM('2、试卷（期末）'!$B$2:$B$3)),$C76:$CD76,))-$CE76</f>
        <v>0</v>
      </c>
      <c r="CG76" s="437">
        <f>SUM(IF(COLUMN($C76:$CD76)&lt;(3+SUM('2、试卷（期末）'!$B$2:$B$4)),$C76:$CD76,))-SUM($CE76:$CF76)</f>
        <v>0</v>
      </c>
      <c r="CH76" s="437">
        <f>SUM(IF(COLUMN($C76:$CD76)&lt;(3+SUM('2、试卷（期末）'!$B$2:$B$5)),$C76:$CD76,))-SUM($CE76:$CG76)</f>
        <v>0</v>
      </c>
      <c r="CI76" s="437">
        <f>SUM(IF(COLUMN($C76:$CD76)&lt;(3+SUM('2、试卷（期末）'!$B$2:$B$6)),$C76:$CD76,))-SUM($CE76:$CH76)</f>
        <v>0</v>
      </c>
      <c r="CJ76" s="437">
        <f>SUM(IF(COLUMN($C76:$CD76)&lt;(3+SUM('2、试卷（期末）'!$B$2:$B$7)),$C76:$CD76,))-SUM($CE76:$CI76)</f>
        <v>0</v>
      </c>
      <c r="CK76" s="437">
        <f>SUM(IF(COLUMN($C76:$CD76)&lt;(3+SUM('2、试卷（期末）'!$B$2:$B$8)),$C76:$CD76,))-SUM($CE76:$CJ76)</f>
        <v>0</v>
      </c>
      <c r="CL76" s="437">
        <f>SUM(IF(COLUMN($C76:$CD76)&lt;(3+SUM('2、试卷（期末）'!$B$2:$B$9)),$C76:$CD76,))-SUM($CE76:$CK76)</f>
        <v>0</v>
      </c>
      <c r="CM76" s="437">
        <f>SUM(IF(COLUMN($C76:$CD76)&lt;(3+SUM('2、试卷（期末）'!$B$2:$B$10)),$C76:$CD76,))-SUM($CE76:$CL76)</f>
        <v>0</v>
      </c>
      <c r="CN76" s="437">
        <f>SUM(IF(COLUMN($C76:$CD76)&lt;(3+SUM('2、试卷（期末）'!$B$2:$B$11)),$C76:$CD76,))-SUM($CE76:$CM76)</f>
        <v>0</v>
      </c>
      <c r="CO76" s="437">
        <f t="shared" si="2"/>
        <v>0</v>
      </c>
      <c r="CP76" s="438">
        <f ca="1">ROUND(CO76*'1、课程目标与考核方式'!$H$13/100+IF(ISERROR(VLOOKUP(A76,'4、平时成绩'!$A$2:$H$201,8,FALSE)),0,VLOOKUP(A76,'4、平时成绩'!$A$2:$H$201,8,FALSE)),0)</f>
        <v>0</v>
      </c>
    </row>
    <row r="77" s="32" customFormat="1" spans="1:94">
      <c r="A77" s="440"/>
      <c r="B77" s="440"/>
      <c r="C77" s="441"/>
      <c r="D77" s="436"/>
      <c r="E77" s="436"/>
      <c r="F77" s="436"/>
      <c r="G77" s="436"/>
      <c r="H77" s="436"/>
      <c r="I77" s="436"/>
      <c r="J77" s="436"/>
      <c r="K77" s="436"/>
      <c r="L77" s="436"/>
      <c r="M77" s="436"/>
      <c r="N77" s="436"/>
      <c r="O77" s="436"/>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c r="AO77" s="436"/>
      <c r="AP77" s="436"/>
      <c r="AQ77" s="436"/>
      <c r="AR77" s="436"/>
      <c r="AS77" s="436"/>
      <c r="AT77" s="436"/>
      <c r="AU77" s="436"/>
      <c r="AV77" s="436"/>
      <c r="AW77" s="436"/>
      <c r="AX77" s="436"/>
      <c r="AY77" s="436"/>
      <c r="AZ77" s="436"/>
      <c r="BA77" s="436"/>
      <c r="BB77" s="436"/>
      <c r="BC77" s="436"/>
      <c r="BD77" s="436"/>
      <c r="BE77" s="436"/>
      <c r="BF77" s="436"/>
      <c r="BG77" s="436"/>
      <c r="BH77" s="436"/>
      <c r="BI77" s="436"/>
      <c r="BJ77" s="436"/>
      <c r="BK77" s="436"/>
      <c r="BL77" s="436"/>
      <c r="BM77" s="436"/>
      <c r="BN77" s="436"/>
      <c r="BO77" s="436"/>
      <c r="BP77" s="436"/>
      <c r="BQ77" s="436"/>
      <c r="BR77" s="436"/>
      <c r="BS77" s="436"/>
      <c r="BT77" s="436"/>
      <c r="BU77" s="436"/>
      <c r="BV77" s="436"/>
      <c r="BW77" s="436"/>
      <c r="BX77" s="436"/>
      <c r="BY77" s="436"/>
      <c r="BZ77" s="436"/>
      <c r="CA77" s="436"/>
      <c r="CB77" s="436"/>
      <c r="CC77" s="436"/>
      <c r="CD77" s="436"/>
      <c r="CE77" s="437">
        <f>SUM(IF(COLUMN($C77:$CD77)&lt;(3+'2、试卷（期末）'!$B$2),$C77:$CD77,))</f>
        <v>0</v>
      </c>
      <c r="CF77" s="437">
        <f>SUM(IF(COLUMN($C77:$CD77)&lt;(3+SUM('2、试卷（期末）'!$B$2:$B$3)),$C77:$CD77,))-$CE77</f>
        <v>0</v>
      </c>
      <c r="CG77" s="437">
        <f>SUM(IF(COLUMN($C77:$CD77)&lt;(3+SUM('2、试卷（期末）'!$B$2:$B$4)),$C77:$CD77,))-SUM($CE77:$CF77)</f>
        <v>0</v>
      </c>
      <c r="CH77" s="437">
        <f>SUM(IF(COLUMN($C77:$CD77)&lt;(3+SUM('2、试卷（期末）'!$B$2:$B$5)),$C77:$CD77,))-SUM($CE77:$CG77)</f>
        <v>0</v>
      </c>
      <c r="CI77" s="437">
        <f>SUM(IF(COLUMN($C77:$CD77)&lt;(3+SUM('2、试卷（期末）'!$B$2:$B$6)),$C77:$CD77,))-SUM($CE77:$CH77)</f>
        <v>0</v>
      </c>
      <c r="CJ77" s="437">
        <f>SUM(IF(COLUMN($C77:$CD77)&lt;(3+SUM('2、试卷（期末）'!$B$2:$B$7)),$C77:$CD77,))-SUM($CE77:$CI77)</f>
        <v>0</v>
      </c>
      <c r="CK77" s="437">
        <f>SUM(IF(COLUMN($C77:$CD77)&lt;(3+SUM('2、试卷（期末）'!$B$2:$B$8)),$C77:$CD77,))-SUM($CE77:$CJ77)</f>
        <v>0</v>
      </c>
      <c r="CL77" s="437">
        <f>SUM(IF(COLUMN($C77:$CD77)&lt;(3+SUM('2、试卷（期末）'!$B$2:$B$9)),$C77:$CD77,))-SUM($CE77:$CK77)</f>
        <v>0</v>
      </c>
      <c r="CM77" s="437">
        <f>SUM(IF(COLUMN($C77:$CD77)&lt;(3+SUM('2、试卷（期末）'!$B$2:$B$10)),$C77:$CD77,))-SUM($CE77:$CL77)</f>
        <v>0</v>
      </c>
      <c r="CN77" s="437">
        <f>SUM(IF(COLUMN($C77:$CD77)&lt;(3+SUM('2、试卷（期末）'!$B$2:$B$11)),$C77:$CD77,))-SUM($CE77:$CM77)</f>
        <v>0</v>
      </c>
      <c r="CO77" s="437">
        <f t="shared" si="2"/>
        <v>0</v>
      </c>
      <c r="CP77" s="438">
        <f ca="1">ROUND(CO77*'1、课程目标与考核方式'!$H$13/100+IF(ISERROR(VLOOKUP(A77,'4、平时成绩'!$A$2:$H$201,8,FALSE)),0,VLOOKUP(A77,'4、平时成绩'!$A$2:$H$201,8,FALSE)),0)</f>
        <v>0</v>
      </c>
    </row>
    <row r="78" s="32" customFormat="1" spans="1:94">
      <c r="A78" s="440"/>
      <c r="B78" s="440"/>
      <c r="C78" s="441"/>
      <c r="D78" s="436"/>
      <c r="E78" s="436"/>
      <c r="F78" s="436"/>
      <c r="G78" s="436"/>
      <c r="H78" s="436"/>
      <c r="I78" s="436"/>
      <c r="J78" s="436"/>
      <c r="K78" s="436"/>
      <c r="L78" s="436"/>
      <c r="M78" s="436"/>
      <c r="N78" s="436"/>
      <c r="O78" s="436"/>
      <c r="P78" s="436"/>
      <c r="Q78" s="436"/>
      <c r="R78" s="436"/>
      <c r="S78" s="436"/>
      <c r="T78" s="436"/>
      <c r="U78" s="436"/>
      <c r="V78" s="436"/>
      <c r="W78" s="436"/>
      <c r="X78" s="436"/>
      <c r="Y78" s="436"/>
      <c r="Z78" s="436"/>
      <c r="AA78" s="436"/>
      <c r="AB78" s="436"/>
      <c r="AC78" s="436"/>
      <c r="AD78" s="436"/>
      <c r="AE78" s="436"/>
      <c r="AF78" s="436"/>
      <c r="AG78" s="436"/>
      <c r="AH78" s="436"/>
      <c r="AI78" s="436"/>
      <c r="AJ78" s="436"/>
      <c r="AK78" s="436"/>
      <c r="AL78" s="436"/>
      <c r="AM78" s="436"/>
      <c r="AN78" s="436"/>
      <c r="AO78" s="436"/>
      <c r="AP78" s="436"/>
      <c r="AQ78" s="436"/>
      <c r="AR78" s="436"/>
      <c r="AS78" s="436"/>
      <c r="AT78" s="436"/>
      <c r="AU78" s="436"/>
      <c r="AV78" s="436"/>
      <c r="AW78" s="436"/>
      <c r="AX78" s="436"/>
      <c r="AY78" s="436"/>
      <c r="AZ78" s="436"/>
      <c r="BA78" s="436"/>
      <c r="BB78" s="436"/>
      <c r="BC78" s="436"/>
      <c r="BD78" s="436"/>
      <c r="BE78" s="436"/>
      <c r="BF78" s="436"/>
      <c r="BG78" s="436"/>
      <c r="BH78" s="436"/>
      <c r="BI78" s="436"/>
      <c r="BJ78" s="436"/>
      <c r="BK78" s="436"/>
      <c r="BL78" s="436"/>
      <c r="BM78" s="436"/>
      <c r="BN78" s="436"/>
      <c r="BO78" s="436"/>
      <c r="BP78" s="436"/>
      <c r="BQ78" s="436"/>
      <c r="BR78" s="436"/>
      <c r="BS78" s="436"/>
      <c r="BT78" s="436"/>
      <c r="BU78" s="436"/>
      <c r="BV78" s="436"/>
      <c r="BW78" s="436"/>
      <c r="BX78" s="436"/>
      <c r="BY78" s="436"/>
      <c r="BZ78" s="436"/>
      <c r="CA78" s="436"/>
      <c r="CB78" s="436"/>
      <c r="CC78" s="436"/>
      <c r="CD78" s="436"/>
      <c r="CE78" s="437">
        <f>SUM(IF(COLUMN($C78:$CD78)&lt;(3+'2、试卷（期末）'!$B$2),$C78:$CD78,))</f>
        <v>0</v>
      </c>
      <c r="CF78" s="437">
        <f>SUM(IF(COLUMN($C78:$CD78)&lt;(3+SUM('2、试卷（期末）'!$B$2:$B$3)),$C78:$CD78,))-$CE78</f>
        <v>0</v>
      </c>
      <c r="CG78" s="437">
        <f>SUM(IF(COLUMN($C78:$CD78)&lt;(3+SUM('2、试卷（期末）'!$B$2:$B$4)),$C78:$CD78,))-SUM($CE78:$CF78)</f>
        <v>0</v>
      </c>
      <c r="CH78" s="437">
        <f>SUM(IF(COLUMN($C78:$CD78)&lt;(3+SUM('2、试卷（期末）'!$B$2:$B$5)),$C78:$CD78,))-SUM($CE78:$CG78)</f>
        <v>0</v>
      </c>
      <c r="CI78" s="437">
        <f>SUM(IF(COLUMN($C78:$CD78)&lt;(3+SUM('2、试卷（期末）'!$B$2:$B$6)),$C78:$CD78,))-SUM($CE78:$CH78)</f>
        <v>0</v>
      </c>
      <c r="CJ78" s="437">
        <f>SUM(IF(COLUMN($C78:$CD78)&lt;(3+SUM('2、试卷（期末）'!$B$2:$B$7)),$C78:$CD78,))-SUM($CE78:$CI78)</f>
        <v>0</v>
      </c>
      <c r="CK78" s="437">
        <f>SUM(IF(COLUMN($C78:$CD78)&lt;(3+SUM('2、试卷（期末）'!$B$2:$B$8)),$C78:$CD78,))-SUM($CE78:$CJ78)</f>
        <v>0</v>
      </c>
      <c r="CL78" s="437">
        <f>SUM(IF(COLUMN($C78:$CD78)&lt;(3+SUM('2、试卷（期末）'!$B$2:$B$9)),$C78:$CD78,))-SUM($CE78:$CK78)</f>
        <v>0</v>
      </c>
      <c r="CM78" s="437">
        <f>SUM(IF(COLUMN($C78:$CD78)&lt;(3+SUM('2、试卷（期末）'!$B$2:$B$10)),$C78:$CD78,))-SUM($CE78:$CL78)</f>
        <v>0</v>
      </c>
      <c r="CN78" s="437">
        <f>SUM(IF(COLUMN($C78:$CD78)&lt;(3+SUM('2、试卷（期末）'!$B$2:$B$11)),$C78:$CD78,))-SUM($CE78:$CM78)</f>
        <v>0</v>
      </c>
      <c r="CO78" s="437">
        <f t="shared" si="2"/>
        <v>0</v>
      </c>
      <c r="CP78" s="438">
        <f ca="1">ROUND(CO78*'1、课程目标与考核方式'!$H$13/100+IF(ISERROR(VLOOKUP(A78,'4、平时成绩'!$A$2:$H$201,8,FALSE)),0,VLOOKUP(A78,'4、平时成绩'!$A$2:$H$201,8,FALSE)),0)</f>
        <v>0</v>
      </c>
    </row>
    <row r="79" s="32" customFormat="1" spans="1:94">
      <c r="A79" s="440"/>
      <c r="B79" s="440"/>
      <c r="C79" s="441"/>
      <c r="D79" s="436"/>
      <c r="E79" s="436"/>
      <c r="F79" s="436"/>
      <c r="G79" s="436"/>
      <c r="H79" s="436"/>
      <c r="I79" s="436"/>
      <c r="J79" s="436"/>
      <c r="K79" s="436"/>
      <c r="L79" s="436"/>
      <c r="M79" s="436"/>
      <c r="N79" s="436"/>
      <c r="O79" s="436"/>
      <c r="P79" s="436"/>
      <c r="Q79" s="436"/>
      <c r="R79" s="436"/>
      <c r="S79" s="436"/>
      <c r="T79" s="436"/>
      <c r="U79" s="436"/>
      <c r="V79" s="436"/>
      <c r="W79" s="436"/>
      <c r="X79" s="436"/>
      <c r="Y79" s="436"/>
      <c r="Z79" s="436"/>
      <c r="AA79" s="436"/>
      <c r="AB79" s="436"/>
      <c r="AC79" s="436"/>
      <c r="AD79" s="436"/>
      <c r="AE79" s="436"/>
      <c r="AF79" s="436"/>
      <c r="AG79" s="436"/>
      <c r="AH79" s="436"/>
      <c r="AI79" s="436"/>
      <c r="AJ79" s="436"/>
      <c r="AK79" s="436"/>
      <c r="AL79" s="436"/>
      <c r="AM79" s="436"/>
      <c r="AN79" s="436"/>
      <c r="AO79" s="436"/>
      <c r="AP79" s="436"/>
      <c r="AQ79" s="436"/>
      <c r="AR79" s="436"/>
      <c r="AS79" s="436"/>
      <c r="AT79" s="436"/>
      <c r="AU79" s="436"/>
      <c r="AV79" s="436"/>
      <c r="AW79" s="436"/>
      <c r="AX79" s="436"/>
      <c r="AY79" s="436"/>
      <c r="AZ79" s="436"/>
      <c r="BA79" s="436"/>
      <c r="BB79" s="436"/>
      <c r="BC79" s="436"/>
      <c r="BD79" s="436"/>
      <c r="BE79" s="436"/>
      <c r="BF79" s="436"/>
      <c r="BG79" s="436"/>
      <c r="BH79" s="436"/>
      <c r="BI79" s="436"/>
      <c r="BJ79" s="436"/>
      <c r="BK79" s="436"/>
      <c r="BL79" s="436"/>
      <c r="BM79" s="436"/>
      <c r="BN79" s="436"/>
      <c r="BO79" s="436"/>
      <c r="BP79" s="436"/>
      <c r="BQ79" s="436"/>
      <c r="BR79" s="436"/>
      <c r="BS79" s="436"/>
      <c r="BT79" s="436"/>
      <c r="BU79" s="436"/>
      <c r="BV79" s="436"/>
      <c r="BW79" s="436"/>
      <c r="BX79" s="436"/>
      <c r="BY79" s="436"/>
      <c r="BZ79" s="436"/>
      <c r="CA79" s="436"/>
      <c r="CB79" s="436"/>
      <c r="CC79" s="436"/>
      <c r="CD79" s="436"/>
      <c r="CE79" s="437">
        <f>SUM(IF(COLUMN($C79:$CD79)&lt;(3+'2、试卷（期末）'!$B$2),$C79:$CD79,))</f>
        <v>0</v>
      </c>
      <c r="CF79" s="437">
        <f>SUM(IF(COLUMN($C79:$CD79)&lt;(3+SUM('2、试卷（期末）'!$B$2:$B$3)),$C79:$CD79,))-$CE79</f>
        <v>0</v>
      </c>
      <c r="CG79" s="437">
        <f>SUM(IF(COLUMN($C79:$CD79)&lt;(3+SUM('2、试卷（期末）'!$B$2:$B$4)),$C79:$CD79,))-SUM($CE79:$CF79)</f>
        <v>0</v>
      </c>
      <c r="CH79" s="437">
        <f>SUM(IF(COLUMN($C79:$CD79)&lt;(3+SUM('2、试卷（期末）'!$B$2:$B$5)),$C79:$CD79,))-SUM($CE79:$CG79)</f>
        <v>0</v>
      </c>
      <c r="CI79" s="437">
        <f>SUM(IF(COLUMN($C79:$CD79)&lt;(3+SUM('2、试卷（期末）'!$B$2:$B$6)),$C79:$CD79,))-SUM($CE79:$CH79)</f>
        <v>0</v>
      </c>
      <c r="CJ79" s="437">
        <f>SUM(IF(COLUMN($C79:$CD79)&lt;(3+SUM('2、试卷（期末）'!$B$2:$B$7)),$C79:$CD79,))-SUM($CE79:$CI79)</f>
        <v>0</v>
      </c>
      <c r="CK79" s="437">
        <f>SUM(IF(COLUMN($C79:$CD79)&lt;(3+SUM('2、试卷（期末）'!$B$2:$B$8)),$C79:$CD79,))-SUM($CE79:$CJ79)</f>
        <v>0</v>
      </c>
      <c r="CL79" s="437">
        <f>SUM(IF(COLUMN($C79:$CD79)&lt;(3+SUM('2、试卷（期末）'!$B$2:$B$9)),$C79:$CD79,))-SUM($CE79:$CK79)</f>
        <v>0</v>
      </c>
      <c r="CM79" s="437">
        <f>SUM(IF(COLUMN($C79:$CD79)&lt;(3+SUM('2、试卷（期末）'!$B$2:$B$10)),$C79:$CD79,))-SUM($CE79:$CL79)</f>
        <v>0</v>
      </c>
      <c r="CN79" s="437">
        <f>SUM(IF(COLUMN($C79:$CD79)&lt;(3+SUM('2、试卷（期末）'!$B$2:$B$11)),$C79:$CD79,))-SUM($CE79:$CM79)</f>
        <v>0</v>
      </c>
      <c r="CO79" s="437">
        <f t="shared" si="2"/>
        <v>0</v>
      </c>
      <c r="CP79" s="438">
        <f ca="1">ROUND(CO79*'1、课程目标与考核方式'!$H$13/100+IF(ISERROR(VLOOKUP(A79,'4、平时成绩'!$A$2:$H$201,8,FALSE)),0,VLOOKUP(A79,'4、平时成绩'!$A$2:$H$201,8,FALSE)),0)</f>
        <v>0</v>
      </c>
    </row>
    <row r="80" s="32" customFormat="1" spans="1:94">
      <c r="A80" s="440"/>
      <c r="B80" s="440"/>
      <c r="C80" s="441"/>
      <c r="D80" s="436"/>
      <c r="E80" s="436"/>
      <c r="F80" s="436"/>
      <c r="G80" s="436"/>
      <c r="H80" s="436"/>
      <c r="I80" s="436"/>
      <c r="J80" s="436"/>
      <c r="K80" s="436"/>
      <c r="L80" s="436"/>
      <c r="M80" s="436"/>
      <c r="N80" s="436"/>
      <c r="O80" s="436"/>
      <c r="P80" s="436"/>
      <c r="Q80" s="436"/>
      <c r="R80" s="436"/>
      <c r="S80" s="436"/>
      <c r="T80" s="436"/>
      <c r="U80" s="436"/>
      <c r="V80" s="436"/>
      <c r="W80" s="436"/>
      <c r="X80" s="436"/>
      <c r="Y80" s="436"/>
      <c r="Z80" s="436"/>
      <c r="AA80" s="436"/>
      <c r="AB80" s="436"/>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6"/>
      <c r="AY80" s="436"/>
      <c r="AZ80" s="436"/>
      <c r="BA80" s="436"/>
      <c r="BB80" s="436"/>
      <c r="BC80" s="436"/>
      <c r="BD80" s="436"/>
      <c r="BE80" s="436"/>
      <c r="BF80" s="436"/>
      <c r="BG80" s="436"/>
      <c r="BH80" s="436"/>
      <c r="BI80" s="436"/>
      <c r="BJ80" s="436"/>
      <c r="BK80" s="436"/>
      <c r="BL80" s="436"/>
      <c r="BM80" s="436"/>
      <c r="BN80" s="436"/>
      <c r="BO80" s="436"/>
      <c r="BP80" s="436"/>
      <c r="BQ80" s="436"/>
      <c r="BR80" s="436"/>
      <c r="BS80" s="436"/>
      <c r="BT80" s="436"/>
      <c r="BU80" s="436"/>
      <c r="BV80" s="436"/>
      <c r="BW80" s="436"/>
      <c r="BX80" s="436"/>
      <c r="BY80" s="436"/>
      <c r="BZ80" s="436"/>
      <c r="CA80" s="436"/>
      <c r="CB80" s="436"/>
      <c r="CC80" s="436"/>
      <c r="CD80" s="436"/>
      <c r="CE80" s="437">
        <f>SUM(IF(COLUMN($C80:$CD80)&lt;(3+'2、试卷（期末）'!$B$2),$C80:$CD80,))</f>
        <v>0</v>
      </c>
      <c r="CF80" s="437">
        <f>SUM(IF(COLUMN($C80:$CD80)&lt;(3+SUM('2、试卷（期末）'!$B$2:$B$3)),$C80:$CD80,))-$CE80</f>
        <v>0</v>
      </c>
      <c r="CG80" s="437">
        <f>SUM(IF(COLUMN($C80:$CD80)&lt;(3+SUM('2、试卷（期末）'!$B$2:$B$4)),$C80:$CD80,))-SUM($CE80:$CF80)</f>
        <v>0</v>
      </c>
      <c r="CH80" s="437">
        <f>SUM(IF(COLUMN($C80:$CD80)&lt;(3+SUM('2、试卷（期末）'!$B$2:$B$5)),$C80:$CD80,))-SUM($CE80:$CG80)</f>
        <v>0</v>
      </c>
      <c r="CI80" s="437">
        <f>SUM(IF(COLUMN($C80:$CD80)&lt;(3+SUM('2、试卷（期末）'!$B$2:$B$6)),$C80:$CD80,))-SUM($CE80:$CH80)</f>
        <v>0</v>
      </c>
      <c r="CJ80" s="437">
        <f>SUM(IF(COLUMN($C80:$CD80)&lt;(3+SUM('2、试卷（期末）'!$B$2:$B$7)),$C80:$CD80,))-SUM($CE80:$CI80)</f>
        <v>0</v>
      </c>
      <c r="CK80" s="437">
        <f>SUM(IF(COLUMN($C80:$CD80)&lt;(3+SUM('2、试卷（期末）'!$B$2:$B$8)),$C80:$CD80,))-SUM($CE80:$CJ80)</f>
        <v>0</v>
      </c>
      <c r="CL80" s="437">
        <f>SUM(IF(COLUMN($C80:$CD80)&lt;(3+SUM('2、试卷（期末）'!$B$2:$B$9)),$C80:$CD80,))-SUM($CE80:$CK80)</f>
        <v>0</v>
      </c>
      <c r="CM80" s="437">
        <f>SUM(IF(COLUMN($C80:$CD80)&lt;(3+SUM('2、试卷（期末）'!$B$2:$B$10)),$C80:$CD80,))-SUM($CE80:$CL80)</f>
        <v>0</v>
      </c>
      <c r="CN80" s="437">
        <f>SUM(IF(COLUMN($C80:$CD80)&lt;(3+SUM('2、试卷（期末）'!$B$2:$B$11)),$C80:$CD80,))-SUM($CE80:$CM80)</f>
        <v>0</v>
      </c>
      <c r="CO80" s="437">
        <f t="shared" si="2"/>
        <v>0</v>
      </c>
      <c r="CP80" s="438">
        <f ca="1">ROUND(CO80*'1、课程目标与考核方式'!$H$13/100+IF(ISERROR(VLOOKUP(A80,'4、平时成绩'!$A$2:$H$201,8,FALSE)),0,VLOOKUP(A80,'4、平时成绩'!$A$2:$H$201,8,FALSE)),0)</f>
        <v>0</v>
      </c>
    </row>
    <row r="81" s="32" customFormat="1" spans="1:94">
      <c r="A81" s="440"/>
      <c r="B81" s="440"/>
      <c r="C81" s="441"/>
      <c r="D81" s="436"/>
      <c r="E81" s="436"/>
      <c r="F81" s="436"/>
      <c r="G81" s="436"/>
      <c r="H81" s="436"/>
      <c r="I81" s="436"/>
      <c r="J81" s="436"/>
      <c r="K81" s="436"/>
      <c r="L81" s="436"/>
      <c r="M81" s="436"/>
      <c r="N81" s="436"/>
      <c r="O81" s="436"/>
      <c r="P81" s="436"/>
      <c r="Q81" s="436"/>
      <c r="R81" s="436"/>
      <c r="S81" s="436"/>
      <c r="T81" s="436"/>
      <c r="U81" s="436"/>
      <c r="V81" s="436"/>
      <c r="W81" s="436"/>
      <c r="X81" s="436"/>
      <c r="Y81" s="436"/>
      <c r="Z81" s="436"/>
      <c r="AA81" s="436"/>
      <c r="AB81" s="43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6"/>
      <c r="AY81" s="436"/>
      <c r="AZ81" s="436"/>
      <c r="BA81" s="436"/>
      <c r="BB81" s="436"/>
      <c r="BC81" s="436"/>
      <c r="BD81" s="436"/>
      <c r="BE81" s="436"/>
      <c r="BF81" s="436"/>
      <c r="BG81" s="436"/>
      <c r="BH81" s="436"/>
      <c r="BI81" s="436"/>
      <c r="BJ81" s="436"/>
      <c r="BK81" s="436"/>
      <c r="BL81" s="436"/>
      <c r="BM81" s="436"/>
      <c r="BN81" s="436"/>
      <c r="BO81" s="436"/>
      <c r="BP81" s="436"/>
      <c r="BQ81" s="436"/>
      <c r="BR81" s="436"/>
      <c r="BS81" s="436"/>
      <c r="BT81" s="436"/>
      <c r="BU81" s="436"/>
      <c r="BV81" s="436"/>
      <c r="BW81" s="436"/>
      <c r="BX81" s="436"/>
      <c r="BY81" s="436"/>
      <c r="BZ81" s="436"/>
      <c r="CA81" s="436"/>
      <c r="CB81" s="436"/>
      <c r="CC81" s="436"/>
      <c r="CD81" s="436"/>
      <c r="CE81" s="437">
        <f>SUM(IF(COLUMN($C81:$CD81)&lt;(3+'2、试卷（期末）'!$B$2),$C81:$CD81,))</f>
        <v>0</v>
      </c>
      <c r="CF81" s="437">
        <f>SUM(IF(COLUMN($C81:$CD81)&lt;(3+SUM('2、试卷（期末）'!$B$2:$B$3)),$C81:$CD81,))-$CE81</f>
        <v>0</v>
      </c>
      <c r="CG81" s="437">
        <f>SUM(IF(COLUMN($C81:$CD81)&lt;(3+SUM('2、试卷（期末）'!$B$2:$B$4)),$C81:$CD81,))-SUM($CE81:$CF81)</f>
        <v>0</v>
      </c>
      <c r="CH81" s="437">
        <f>SUM(IF(COLUMN($C81:$CD81)&lt;(3+SUM('2、试卷（期末）'!$B$2:$B$5)),$C81:$CD81,))-SUM($CE81:$CG81)</f>
        <v>0</v>
      </c>
      <c r="CI81" s="437">
        <f>SUM(IF(COLUMN($C81:$CD81)&lt;(3+SUM('2、试卷（期末）'!$B$2:$B$6)),$C81:$CD81,))-SUM($CE81:$CH81)</f>
        <v>0</v>
      </c>
      <c r="CJ81" s="437">
        <f>SUM(IF(COLUMN($C81:$CD81)&lt;(3+SUM('2、试卷（期末）'!$B$2:$B$7)),$C81:$CD81,))-SUM($CE81:$CI81)</f>
        <v>0</v>
      </c>
      <c r="CK81" s="437">
        <f>SUM(IF(COLUMN($C81:$CD81)&lt;(3+SUM('2、试卷（期末）'!$B$2:$B$8)),$C81:$CD81,))-SUM($CE81:$CJ81)</f>
        <v>0</v>
      </c>
      <c r="CL81" s="437">
        <f>SUM(IF(COLUMN($C81:$CD81)&lt;(3+SUM('2、试卷（期末）'!$B$2:$B$9)),$C81:$CD81,))-SUM($CE81:$CK81)</f>
        <v>0</v>
      </c>
      <c r="CM81" s="437">
        <f>SUM(IF(COLUMN($C81:$CD81)&lt;(3+SUM('2、试卷（期末）'!$B$2:$B$10)),$C81:$CD81,))-SUM($CE81:$CL81)</f>
        <v>0</v>
      </c>
      <c r="CN81" s="437">
        <f>SUM(IF(COLUMN($C81:$CD81)&lt;(3+SUM('2、试卷（期末）'!$B$2:$B$11)),$C81:$CD81,))-SUM($CE81:$CM81)</f>
        <v>0</v>
      </c>
      <c r="CO81" s="437">
        <f t="shared" si="2"/>
        <v>0</v>
      </c>
      <c r="CP81" s="438">
        <f ca="1">ROUND(CO81*'1、课程目标与考核方式'!$H$13/100+IF(ISERROR(VLOOKUP(A81,'4、平时成绩'!$A$2:$H$201,8,FALSE)),0,VLOOKUP(A81,'4、平时成绩'!$A$2:$H$201,8,FALSE)),0)</f>
        <v>0</v>
      </c>
    </row>
    <row r="82" s="32" customFormat="1" spans="1:94">
      <c r="A82" s="440"/>
      <c r="B82" s="440"/>
      <c r="C82" s="441"/>
      <c r="D82" s="436"/>
      <c r="E82" s="436"/>
      <c r="F82" s="436"/>
      <c r="G82" s="436"/>
      <c r="H82" s="436"/>
      <c r="I82" s="436"/>
      <c r="J82" s="436"/>
      <c r="K82" s="436"/>
      <c r="L82" s="436"/>
      <c r="M82" s="436"/>
      <c r="N82" s="436"/>
      <c r="O82" s="436"/>
      <c r="P82" s="436"/>
      <c r="Q82" s="436"/>
      <c r="R82" s="436"/>
      <c r="S82" s="436"/>
      <c r="T82" s="436"/>
      <c r="U82" s="436"/>
      <c r="V82" s="436"/>
      <c r="W82" s="436"/>
      <c r="X82" s="436"/>
      <c r="Y82" s="436"/>
      <c r="Z82" s="436"/>
      <c r="AA82" s="436"/>
      <c r="AB82" s="436"/>
      <c r="AC82" s="436"/>
      <c r="AD82" s="436"/>
      <c r="AE82" s="436"/>
      <c r="AF82" s="436"/>
      <c r="AG82" s="436"/>
      <c r="AH82" s="436"/>
      <c r="AI82" s="436"/>
      <c r="AJ82" s="436"/>
      <c r="AK82" s="436"/>
      <c r="AL82" s="436"/>
      <c r="AM82" s="436"/>
      <c r="AN82" s="436"/>
      <c r="AO82" s="436"/>
      <c r="AP82" s="436"/>
      <c r="AQ82" s="436"/>
      <c r="AR82" s="436"/>
      <c r="AS82" s="436"/>
      <c r="AT82" s="436"/>
      <c r="AU82" s="436"/>
      <c r="AV82" s="436"/>
      <c r="AW82" s="436"/>
      <c r="AX82" s="436"/>
      <c r="AY82" s="436"/>
      <c r="AZ82" s="436"/>
      <c r="BA82" s="436"/>
      <c r="BB82" s="436"/>
      <c r="BC82" s="436"/>
      <c r="BD82" s="436"/>
      <c r="BE82" s="436"/>
      <c r="BF82" s="436"/>
      <c r="BG82" s="436"/>
      <c r="BH82" s="436"/>
      <c r="BI82" s="436"/>
      <c r="BJ82" s="436"/>
      <c r="BK82" s="436"/>
      <c r="BL82" s="436"/>
      <c r="BM82" s="436"/>
      <c r="BN82" s="436"/>
      <c r="BO82" s="436"/>
      <c r="BP82" s="436"/>
      <c r="BQ82" s="436"/>
      <c r="BR82" s="436"/>
      <c r="BS82" s="436"/>
      <c r="BT82" s="436"/>
      <c r="BU82" s="436"/>
      <c r="BV82" s="436"/>
      <c r="BW82" s="436"/>
      <c r="BX82" s="436"/>
      <c r="BY82" s="436"/>
      <c r="BZ82" s="436"/>
      <c r="CA82" s="436"/>
      <c r="CB82" s="436"/>
      <c r="CC82" s="436"/>
      <c r="CD82" s="436"/>
      <c r="CE82" s="437">
        <f>SUM(IF(COLUMN($C82:$CD82)&lt;(3+'2、试卷（期末）'!$B$2),$C82:$CD82,))</f>
        <v>0</v>
      </c>
      <c r="CF82" s="437">
        <f>SUM(IF(COLUMN($C82:$CD82)&lt;(3+SUM('2、试卷（期末）'!$B$2:$B$3)),$C82:$CD82,))-$CE82</f>
        <v>0</v>
      </c>
      <c r="CG82" s="437">
        <f>SUM(IF(COLUMN($C82:$CD82)&lt;(3+SUM('2、试卷（期末）'!$B$2:$B$4)),$C82:$CD82,))-SUM($CE82:$CF82)</f>
        <v>0</v>
      </c>
      <c r="CH82" s="437">
        <f>SUM(IF(COLUMN($C82:$CD82)&lt;(3+SUM('2、试卷（期末）'!$B$2:$B$5)),$C82:$CD82,))-SUM($CE82:$CG82)</f>
        <v>0</v>
      </c>
      <c r="CI82" s="437">
        <f>SUM(IF(COLUMN($C82:$CD82)&lt;(3+SUM('2、试卷（期末）'!$B$2:$B$6)),$C82:$CD82,))-SUM($CE82:$CH82)</f>
        <v>0</v>
      </c>
      <c r="CJ82" s="437">
        <f>SUM(IF(COLUMN($C82:$CD82)&lt;(3+SUM('2、试卷（期末）'!$B$2:$B$7)),$C82:$CD82,))-SUM($CE82:$CI82)</f>
        <v>0</v>
      </c>
      <c r="CK82" s="437">
        <f>SUM(IF(COLUMN($C82:$CD82)&lt;(3+SUM('2、试卷（期末）'!$B$2:$B$8)),$C82:$CD82,))-SUM($CE82:$CJ82)</f>
        <v>0</v>
      </c>
      <c r="CL82" s="437">
        <f>SUM(IF(COLUMN($C82:$CD82)&lt;(3+SUM('2、试卷（期末）'!$B$2:$B$9)),$C82:$CD82,))-SUM($CE82:$CK82)</f>
        <v>0</v>
      </c>
      <c r="CM82" s="437">
        <f>SUM(IF(COLUMN($C82:$CD82)&lt;(3+SUM('2、试卷（期末）'!$B$2:$B$10)),$C82:$CD82,))-SUM($CE82:$CL82)</f>
        <v>0</v>
      </c>
      <c r="CN82" s="437">
        <f>SUM(IF(COLUMN($C82:$CD82)&lt;(3+SUM('2、试卷（期末）'!$B$2:$B$11)),$C82:$CD82,))-SUM($CE82:$CM82)</f>
        <v>0</v>
      </c>
      <c r="CO82" s="437">
        <f t="shared" si="2"/>
        <v>0</v>
      </c>
      <c r="CP82" s="438">
        <f ca="1">ROUND(CO82*'1、课程目标与考核方式'!$H$13/100+IF(ISERROR(VLOOKUP(A82,'4、平时成绩'!$A$2:$H$201,8,FALSE)),0,VLOOKUP(A82,'4、平时成绩'!$A$2:$H$201,8,FALSE)),0)</f>
        <v>0</v>
      </c>
    </row>
    <row r="83" s="32" customFormat="1" spans="1:94">
      <c r="A83" s="440"/>
      <c r="B83" s="440"/>
      <c r="C83" s="441"/>
      <c r="D83" s="436"/>
      <c r="E83" s="436"/>
      <c r="F83" s="436"/>
      <c r="G83" s="436"/>
      <c r="H83" s="436"/>
      <c r="I83" s="436"/>
      <c r="J83" s="436"/>
      <c r="K83" s="436"/>
      <c r="L83" s="436"/>
      <c r="M83" s="436"/>
      <c r="N83" s="436"/>
      <c r="O83" s="436"/>
      <c r="P83" s="436"/>
      <c r="Q83" s="436"/>
      <c r="R83" s="436"/>
      <c r="S83" s="436"/>
      <c r="T83" s="436"/>
      <c r="U83" s="436"/>
      <c r="V83" s="436"/>
      <c r="W83" s="436"/>
      <c r="X83" s="436"/>
      <c r="Y83" s="436"/>
      <c r="Z83" s="436"/>
      <c r="AA83" s="436"/>
      <c r="AB83" s="436"/>
      <c r="AC83" s="436"/>
      <c r="AD83" s="436"/>
      <c r="AE83" s="436"/>
      <c r="AF83" s="436"/>
      <c r="AG83" s="436"/>
      <c r="AH83" s="436"/>
      <c r="AI83" s="436"/>
      <c r="AJ83" s="436"/>
      <c r="AK83" s="436"/>
      <c r="AL83" s="436"/>
      <c r="AM83" s="436"/>
      <c r="AN83" s="436"/>
      <c r="AO83" s="436"/>
      <c r="AP83" s="436"/>
      <c r="AQ83" s="436"/>
      <c r="AR83" s="436"/>
      <c r="AS83" s="436"/>
      <c r="AT83" s="436"/>
      <c r="AU83" s="436"/>
      <c r="AV83" s="436"/>
      <c r="AW83" s="436"/>
      <c r="AX83" s="436"/>
      <c r="AY83" s="436"/>
      <c r="AZ83" s="436"/>
      <c r="BA83" s="436"/>
      <c r="BB83" s="436"/>
      <c r="BC83" s="436"/>
      <c r="BD83" s="436"/>
      <c r="BE83" s="436"/>
      <c r="BF83" s="436"/>
      <c r="BG83" s="436"/>
      <c r="BH83" s="436"/>
      <c r="BI83" s="436"/>
      <c r="BJ83" s="436"/>
      <c r="BK83" s="436"/>
      <c r="BL83" s="436"/>
      <c r="BM83" s="436"/>
      <c r="BN83" s="436"/>
      <c r="BO83" s="436"/>
      <c r="BP83" s="436"/>
      <c r="BQ83" s="436"/>
      <c r="BR83" s="436"/>
      <c r="BS83" s="436"/>
      <c r="BT83" s="436"/>
      <c r="BU83" s="436"/>
      <c r="BV83" s="436"/>
      <c r="BW83" s="436"/>
      <c r="BX83" s="436"/>
      <c r="BY83" s="436"/>
      <c r="BZ83" s="436"/>
      <c r="CA83" s="436"/>
      <c r="CB83" s="436"/>
      <c r="CC83" s="436"/>
      <c r="CD83" s="436"/>
      <c r="CE83" s="437">
        <f>SUM(IF(COLUMN($C83:$CD83)&lt;(3+'2、试卷（期末）'!$B$2),$C83:$CD83,))</f>
        <v>0</v>
      </c>
      <c r="CF83" s="437">
        <f>SUM(IF(COLUMN($C83:$CD83)&lt;(3+SUM('2、试卷（期末）'!$B$2:$B$3)),$C83:$CD83,))-$CE83</f>
        <v>0</v>
      </c>
      <c r="CG83" s="437">
        <f>SUM(IF(COLUMN($C83:$CD83)&lt;(3+SUM('2、试卷（期末）'!$B$2:$B$4)),$C83:$CD83,))-SUM($CE83:$CF83)</f>
        <v>0</v>
      </c>
      <c r="CH83" s="437">
        <f>SUM(IF(COLUMN($C83:$CD83)&lt;(3+SUM('2、试卷（期末）'!$B$2:$B$5)),$C83:$CD83,))-SUM($CE83:$CG83)</f>
        <v>0</v>
      </c>
      <c r="CI83" s="437">
        <f>SUM(IF(COLUMN($C83:$CD83)&lt;(3+SUM('2、试卷（期末）'!$B$2:$B$6)),$C83:$CD83,))-SUM($CE83:$CH83)</f>
        <v>0</v>
      </c>
      <c r="CJ83" s="437">
        <f>SUM(IF(COLUMN($C83:$CD83)&lt;(3+SUM('2、试卷（期末）'!$B$2:$B$7)),$C83:$CD83,))-SUM($CE83:$CI83)</f>
        <v>0</v>
      </c>
      <c r="CK83" s="437">
        <f>SUM(IF(COLUMN($C83:$CD83)&lt;(3+SUM('2、试卷（期末）'!$B$2:$B$8)),$C83:$CD83,))-SUM($CE83:$CJ83)</f>
        <v>0</v>
      </c>
      <c r="CL83" s="437">
        <f>SUM(IF(COLUMN($C83:$CD83)&lt;(3+SUM('2、试卷（期末）'!$B$2:$B$9)),$C83:$CD83,))-SUM($CE83:$CK83)</f>
        <v>0</v>
      </c>
      <c r="CM83" s="437">
        <f>SUM(IF(COLUMN($C83:$CD83)&lt;(3+SUM('2、试卷（期末）'!$B$2:$B$10)),$C83:$CD83,))-SUM($CE83:$CL83)</f>
        <v>0</v>
      </c>
      <c r="CN83" s="437">
        <f>SUM(IF(COLUMN($C83:$CD83)&lt;(3+SUM('2、试卷（期末）'!$B$2:$B$11)),$C83:$CD83,))-SUM($CE83:$CM83)</f>
        <v>0</v>
      </c>
      <c r="CO83" s="437">
        <f t="shared" si="2"/>
        <v>0</v>
      </c>
      <c r="CP83" s="438">
        <f ca="1">ROUND(CO83*'1、课程目标与考核方式'!$H$13/100+IF(ISERROR(VLOOKUP(A83,'4、平时成绩'!$A$2:$H$201,8,FALSE)),0,VLOOKUP(A83,'4、平时成绩'!$A$2:$H$201,8,FALSE)),0)</f>
        <v>0</v>
      </c>
    </row>
    <row r="84" s="32" customFormat="1" spans="1:94">
      <c r="A84" s="440"/>
      <c r="B84" s="440"/>
      <c r="C84" s="441"/>
      <c r="D84" s="436"/>
      <c r="E84" s="436"/>
      <c r="F84" s="436"/>
      <c r="G84" s="436"/>
      <c r="H84" s="436"/>
      <c r="I84" s="436"/>
      <c r="J84" s="436"/>
      <c r="K84" s="436"/>
      <c r="L84" s="436"/>
      <c r="M84" s="436"/>
      <c r="N84" s="436"/>
      <c r="O84" s="436"/>
      <c r="P84" s="436"/>
      <c r="Q84" s="436"/>
      <c r="R84" s="436"/>
      <c r="S84" s="436"/>
      <c r="T84" s="436"/>
      <c r="U84" s="436"/>
      <c r="V84" s="436"/>
      <c r="W84" s="436"/>
      <c r="X84" s="436"/>
      <c r="Y84" s="436"/>
      <c r="Z84" s="436"/>
      <c r="AA84" s="436"/>
      <c r="AB84" s="436"/>
      <c r="AC84" s="436"/>
      <c r="AD84" s="436"/>
      <c r="AE84" s="436"/>
      <c r="AF84" s="436"/>
      <c r="AG84" s="436"/>
      <c r="AH84" s="436"/>
      <c r="AI84" s="436"/>
      <c r="AJ84" s="436"/>
      <c r="AK84" s="436"/>
      <c r="AL84" s="436"/>
      <c r="AM84" s="436"/>
      <c r="AN84" s="436"/>
      <c r="AO84" s="436"/>
      <c r="AP84" s="436"/>
      <c r="AQ84" s="436"/>
      <c r="AR84" s="436"/>
      <c r="AS84" s="436"/>
      <c r="AT84" s="436"/>
      <c r="AU84" s="436"/>
      <c r="AV84" s="436"/>
      <c r="AW84" s="436"/>
      <c r="AX84" s="436"/>
      <c r="AY84" s="436"/>
      <c r="AZ84" s="436"/>
      <c r="BA84" s="436"/>
      <c r="BB84" s="436"/>
      <c r="BC84" s="436"/>
      <c r="BD84" s="436"/>
      <c r="BE84" s="436"/>
      <c r="BF84" s="436"/>
      <c r="BG84" s="436"/>
      <c r="BH84" s="436"/>
      <c r="BI84" s="436"/>
      <c r="BJ84" s="436"/>
      <c r="BK84" s="436"/>
      <c r="BL84" s="436"/>
      <c r="BM84" s="436"/>
      <c r="BN84" s="436"/>
      <c r="BO84" s="436"/>
      <c r="BP84" s="436"/>
      <c r="BQ84" s="436"/>
      <c r="BR84" s="436"/>
      <c r="BS84" s="436"/>
      <c r="BT84" s="436"/>
      <c r="BU84" s="436"/>
      <c r="BV84" s="436"/>
      <c r="BW84" s="436"/>
      <c r="BX84" s="436"/>
      <c r="BY84" s="436"/>
      <c r="BZ84" s="436"/>
      <c r="CA84" s="436"/>
      <c r="CB84" s="436"/>
      <c r="CC84" s="436"/>
      <c r="CD84" s="436"/>
      <c r="CE84" s="437">
        <f>SUM(IF(COLUMN($C84:$CD84)&lt;(3+'2、试卷（期末）'!$B$2),$C84:$CD84,))</f>
        <v>0</v>
      </c>
      <c r="CF84" s="437">
        <f>SUM(IF(COLUMN($C84:$CD84)&lt;(3+SUM('2、试卷（期末）'!$B$2:$B$3)),$C84:$CD84,))-$CE84</f>
        <v>0</v>
      </c>
      <c r="CG84" s="437">
        <f>SUM(IF(COLUMN($C84:$CD84)&lt;(3+SUM('2、试卷（期末）'!$B$2:$B$4)),$C84:$CD84,))-SUM($CE84:$CF84)</f>
        <v>0</v>
      </c>
      <c r="CH84" s="437">
        <f>SUM(IF(COLUMN($C84:$CD84)&lt;(3+SUM('2、试卷（期末）'!$B$2:$B$5)),$C84:$CD84,))-SUM($CE84:$CG84)</f>
        <v>0</v>
      </c>
      <c r="CI84" s="437">
        <f>SUM(IF(COLUMN($C84:$CD84)&lt;(3+SUM('2、试卷（期末）'!$B$2:$B$6)),$C84:$CD84,))-SUM($CE84:$CH84)</f>
        <v>0</v>
      </c>
      <c r="CJ84" s="437">
        <f>SUM(IF(COLUMN($C84:$CD84)&lt;(3+SUM('2、试卷（期末）'!$B$2:$B$7)),$C84:$CD84,))-SUM($CE84:$CI84)</f>
        <v>0</v>
      </c>
      <c r="CK84" s="437">
        <f>SUM(IF(COLUMN($C84:$CD84)&lt;(3+SUM('2、试卷（期末）'!$B$2:$B$8)),$C84:$CD84,))-SUM($CE84:$CJ84)</f>
        <v>0</v>
      </c>
      <c r="CL84" s="437">
        <f>SUM(IF(COLUMN($C84:$CD84)&lt;(3+SUM('2、试卷（期末）'!$B$2:$B$9)),$C84:$CD84,))-SUM($CE84:$CK84)</f>
        <v>0</v>
      </c>
      <c r="CM84" s="437">
        <f>SUM(IF(COLUMN($C84:$CD84)&lt;(3+SUM('2、试卷（期末）'!$B$2:$B$10)),$C84:$CD84,))-SUM($CE84:$CL84)</f>
        <v>0</v>
      </c>
      <c r="CN84" s="437">
        <f>SUM(IF(COLUMN($C84:$CD84)&lt;(3+SUM('2、试卷（期末）'!$B$2:$B$11)),$C84:$CD84,))-SUM($CE84:$CM84)</f>
        <v>0</v>
      </c>
      <c r="CO84" s="437">
        <f t="shared" si="2"/>
        <v>0</v>
      </c>
      <c r="CP84" s="438">
        <f ca="1">ROUND(CO84*'1、课程目标与考核方式'!$H$13/100+IF(ISERROR(VLOOKUP(A84,'4、平时成绩'!$A$2:$H$201,8,FALSE)),0,VLOOKUP(A84,'4、平时成绩'!$A$2:$H$201,8,FALSE)),0)</f>
        <v>0</v>
      </c>
    </row>
    <row r="85" s="32" customFormat="1" spans="1:94">
      <c r="A85" s="440"/>
      <c r="B85" s="440"/>
      <c r="C85" s="441"/>
      <c r="D85" s="436"/>
      <c r="E85" s="436"/>
      <c r="F85" s="436"/>
      <c r="G85" s="436"/>
      <c r="H85" s="436"/>
      <c r="I85" s="436"/>
      <c r="J85" s="436"/>
      <c r="K85" s="436"/>
      <c r="L85" s="436"/>
      <c r="M85" s="436"/>
      <c r="N85" s="436"/>
      <c r="O85" s="436"/>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c r="AO85" s="436"/>
      <c r="AP85" s="436"/>
      <c r="AQ85" s="436"/>
      <c r="AR85" s="436"/>
      <c r="AS85" s="436"/>
      <c r="AT85" s="436"/>
      <c r="AU85" s="436"/>
      <c r="AV85" s="436"/>
      <c r="AW85" s="436"/>
      <c r="AX85" s="436"/>
      <c r="AY85" s="436"/>
      <c r="AZ85" s="436"/>
      <c r="BA85" s="436"/>
      <c r="BB85" s="436"/>
      <c r="BC85" s="436"/>
      <c r="BD85" s="436"/>
      <c r="BE85" s="436"/>
      <c r="BF85" s="436"/>
      <c r="BG85" s="436"/>
      <c r="BH85" s="436"/>
      <c r="BI85" s="436"/>
      <c r="BJ85" s="436"/>
      <c r="BK85" s="436"/>
      <c r="BL85" s="436"/>
      <c r="BM85" s="436"/>
      <c r="BN85" s="436"/>
      <c r="BO85" s="436"/>
      <c r="BP85" s="436"/>
      <c r="BQ85" s="436"/>
      <c r="BR85" s="436"/>
      <c r="BS85" s="436"/>
      <c r="BT85" s="436"/>
      <c r="BU85" s="436"/>
      <c r="BV85" s="436"/>
      <c r="BW85" s="436"/>
      <c r="BX85" s="436"/>
      <c r="BY85" s="436"/>
      <c r="BZ85" s="436"/>
      <c r="CA85" s="436"/>
      <c r="CB85" s="436"/>
      <c r="CC85" s="436"/>
      <c r="CD85" s="436"/>
      <c r="CE85" s="437">
        <f>SUM(IF(COLUMN($C85:$CD85)&lt;(3+'2、试卷（期末）'!$B$2),$C85:$CD85,))</f>
        <v>0</v>
      </c>
      <c r="CF85" s="437">
        <f>SUM(IF(COLUMN($C85:$CD85)&lt;(3+SUM('2、试卷（期末）'!$B$2:$B$3)),$C85:$CD85,))-$CE85</f>
        <v>0</v>
      </c>
      <c r="CG85" s="437">
        <f>SUM(IF(COLUMN($C85:$CD85)&lt;(3+SUM('2、试卷（期末）'!$B$2:$B$4)),$C85:$CD85,))-SUM($CE85:$CF85)</f>
        <v>0</v>
      </c>
      <c r="CH85" s="437">
        <f>SUM(IF(COLUMN($C85:$CD85)&lt;(3+SUM('2、试卷（期末）'!$B$2:$B$5)),$C85:$CD85,))-SUM($CE85:$CG85)</f>
        <v>0</v>
      </c>
      <c r="CI85" s="437">
        <f>SUM(IF(COLUMN($C85:$CD85)&lt;(3+SUM('2、试卷（期末）'!$B$2:$B$6)),$C85:$CD85,))-SUM($CE85:$CH85)</f>
        <v>0</v>
      </c>
      <c r="CJ85" s="437">
        <f>SUM(IF(COLUMN($C85:$CD85)&lt;(3+SUM('2、试卷（期末）'!$B$2:$B$7)),$C85:$CD85,))-SUM($CE85:$CI85)</f>
        <v>0</v>
      </c>
      <c r="CK85" s="437">
        <f>SUM(IF(COLUMN($C85:$CD85)&lt;(3+SUM('2、试卷（期末）'!$B$2:$B$8)),$C85:$CD85,))-SUM($CE85:$CJ85)</f>
        <v>0</v>
      </c>
      <c r="CL85" s="437">
        <f>SUM(IF(COLUMN($C85:$CD85)&lt;(3+SUM('2、试卷（期末）'!$B$2:$B$9)),$C85:$CD85,))-SUM($CE85:$CK85)</f>
        <v>0</v>
      </c>
      <c r="CM85" s="437">
        <f>SUM(IF(COLUMN($C85:$CD85)&lt;(3+SUM('2、试卷（期末）'!$B$2:$B$10)),$C85:$CD85,))-SUM($CE85:$CL85)</f>
        <v>0</v>
      </c>
      <c r="CN85" s="437">
        <f>SUM(IF(COLUMN($C85:$CD85)&lt;(3+SUM('2、试卷（期末）'!$B$2:$B$11)),$C85:$CD85,))-SUM($CE85:$CM85)</f>
        <v>0</v>
      </c>
      <c r="CO85" s="437">
        <f t="shared" si="2"/>
        <v>0</v>
      </c>
      <c r="CP85" s="438">
        <f ca="1">ROUND(CO85*'1、课程目标与考核方式'!$H$13/100+IF(ISERROR(VLOOKUP(A85,'4、平时成绩'!$A$2:$H$201,8,FALSE)),0,VLOOKUP(A85,'4、平时成绩'!$A$2:$H$201,8,FALSE)),0)</f>
        <v>0</v>
      </c>
    </row>
    <row r="86" s="32" customFormat="1" spans="1:94">
      <c r="A86" s="440"/>
      <c r="B86" s="440"/>
      <c r="C86" s="441"/>
      <c r="D86" s="436"/>
      <c r="E86" s="436"/>
      <c r="F86" s="436"/>
      <c r="G86" s="436"/>
      <c r="H86" s="436"/>
      <c r="I86" s="436"/>
      <c r="J86" s="436"/>
      <c r="K86" s="436"/>
      <c r="L86" s="436"/>
      <c r="M86" s="436"/>
      <c r="N86" s="436"/>
      <c r="O86" s="436"/>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c r="AO86" s="436"/>
      <c r="AP86" s="436"/>
      <c r="AQ86" s="436"/>
      <c r="AR86" s="436"/>
      <c r="AS86" s="436"/>
      <c r="AT86" s="436"/>
      <c r="AU86" s="436"/>
      <c r="AV86" s="436"/>
      <c r="AW86" s="436"/>
      <c r="AX86" s="436"/>
      <c r="AY86" s="436"/>
      <c r="AZ86" s="436"/>
      <c r="BA86" s="436"/>
      <c r="BB86" s="436"/>
      <c r="BC86" s="436"/>
      <c r="BD86" s="436"/>
      <c r="BE86" s="436"/>
      <c r="BF86" s="436"/>
      <c r="BG86" s="436"/>
      <c r="BH86" s="436"/>
      <c r="BI86" s="436"/>
      <c r="BJ86" s="436"/>
      <c r="BK86" s="436"/>
      <c r="BL86" s="436"/>
      <c r="BM86" s="436"/>
      <c r="BN86" s="436"/>
      <c r="BO86" s="436"/>
      <c r="BP86" s="436"/>
      <c r="BQ86" s="436"/>
      <c r="BR86" s="436"/>
      <c r="BS86" s="436"/>
      <c r="BT86" s="436"/>
      <c r="BU86" s="436"/>
      <c r="BV86" s="436"/>
      <c r="BW86" s="436"/>
      <c r="BX86" s="436"/>
      <c r="BY86" s="436"/>
      <c r="BZ86" s="436"/>
      <c r="CA86" s="436"/>
      <c r="CB86" s="436"/>
      <c r="CC86" s="436"/>
      <c r="CD86" s="436"/>
      <c r="CE86" s="437">
        <f>SUM(IF(COLUMN($C86:$CD86)&lt;(3+'2、试卷（期末）'!$B$2),$C86:$CD86,))</f>
        <v>0</v>
      </c>
      <c r="CF86" s="437">
        <f>SUM(IF(COLUMN($C86:$CD86)&lt;(3+SUM('2、试卷（期末）'!$B$2:$B$3)),$C86:$CD86,))-$CE86</f>
        <v>0</v>
      </c>
      <c r="CG86" s="437">
        <f>SUM(IF(COLUMN($C86:$CD86)&lt;(3+SUM('2、试卷（期末）'!$B$2:$B$4)),$C86:$CD86,))-SUM($CE86:$CF86)</f>
        <v>0</v>
      </c>
      <c r="CH86" s="437">
        <f>SUM(IF(COLUMN($C86:$CD86)&lt;(3+SUM('2、试卷（期末）'!$B$2:$B$5)),$C86:$CD86,))-SUM($CE86:$CG86)</f>
        <v>0</v>
      </c>
      <c r="CI86" s="437">
        <f>SUM(IF(COLUMN($C86:$CD86)&lt;(3+SUM('2、试卷（期末）'!$B$2:$B$6)),$C86:$CD86,))-SUM($CE86:$CH86)</f>
        <v>0</v>
      </c>
      <c r="CJ86" s="437">
        <f>SUM(IF(COLUMN($C86:$CD86)&lt;(3+SUM('2、试卷（期末）'!$B$2:$B$7)),$C86:$CD86,))-SUM($CE86:$CI86)</f>
        <v>0</v>
      </c>
      <c r="CK86" s="437">
        <f>SUM(IF(COLUMN($C86:$CD86)&lt;(3+SUM('2、试卷（期末）'!$B$2:$B$8)),$C86:$CD86,))-SUM($CE86:$CJ86)</f>
        <v>0</v>
      </c>
      <c r="CL86" s="437">
        <f>SUM(IF(COLUMN($C86:$CD86)&lt;(3+SUM('2、试卷（期末）'!$B$2:$B$9)),$C86:$CD86,))-SUM($CE86:$CK86)</f>
        <v>0</v>
      </c>
      <c r="CM86" s="437">
        <f>SUM(IF(COLUMN($C86:$CD86)&lt;(3+SUM('2、试卷（期末）'!$B$2:$B$10)),$C86:$CD86,))-SUM($CE86:$CL86)</f>
        <v>0</v>
      </c>
      <c r="CN86" s="437">
        <f>SUM(IF(COLUMN($C86:$CD86)&lt;(3+SUM('2、试卷（期末）'!$B$2:$B$11)),$C86:$CD86,))-SUM($CE86:$CM86)</f>
        <v>0</v>
      </c>
      <c r="CO86" s="437">
        <f t="shared" si="2"/>
        <v>0</v>
      </c>
      <c r="CP86" s="438">
        <f ca="1">ROUND(CO86*'1、课程目标与考核方式'!$H$13/100+IF(ISERROR(VLOOKUP(A86,'4、平时成绩'!$A$2:$H$201,8,FALSE)),0,VLOOKUP(A86,'4、平时成绩'!$A$2:$H$201,8,FALSE)),0)</f>
        <v>0</v>
      </c>
    </row>
    <row r="87" s="32" customFormat="1" spans="1:94">
      <c r="A87" s="440"/>
      <c r="B87" s="440"/>
      <c r="C87" s="441"/>
      <c r="D87" s="436"/>
      <c r="E87" s="436"/>
      <c r="F87" s="436"/>
      <c r="G87" s="436"/>
      <c r="H87" s="436"/>
      <c r="I87" s="436"/>
      <c r="J87" s="436"/>
      <c r="K87" s="436"/>
      <c r="L87" s="436"/>
      <c r="M87" s="436"/>
      <c r="N87" s="436"/>
      <c r="O87" s="436"/>
      <c r="P87" s="436"/>
      <c r="Q87" s="436"/>
      <c r="R87" s="436"/>
      <c r="S87" s="436"/>
      <c r="T87" s="436"/>
      <c r="U87" s="436"/>
      <c r="V87" s="436"/>
      <c r="W87" s="436"/>
      <c r="X87" s="436"/>
      <c r="Y87" s="436"/>
      <c r="Z87" s="436"/>
      <c r="AA87" s="436"/>
      <c r="AB87" s="436"/>
      <c r="AC87" s="436"/>
      <c r="AD87" s="436"/>
      <c r="AE87" s="436"/>
      <c r="AF87" s="436"/>
      <c r="AG87" s="436"/>
      <c r="AH87" s="436"/>
      <c r="AI87" s="436"/>
      <c r="AJ87" s="436"/>
      <c r="AK87" s="436"/>
      <c r="AL87" s="436"/>
      <c r="AM87" s="436"/>
      <c r="AN87" s="436"/>
      <c r="AO87" s="436"/>
      <c r="AP87" s="436"/>
      <c r="AQ87" s="436"/>
      <c r="AR87" s="436"/>
      <c r="AS87" s="436"/>
      <c r="AT87" s="436"/>
      <c r="AU87" s="436"/>
      <c r="AV87" s="436"/>
      <c r="AW87" s="436"/>
      <c r="AX87" s="436"/>
      <c r="AY87" s="436"/>
      <c r="AZ87" s="436"/>
      <c r="BA87" s="436"/>
      <c r="BB87" s="436"/>
      <c r="BC87" s="436"/>
      <c r="BD87" s="436"/>
      <c r="BE87" s="436"/>
      <c r="BF87" s="436"/>
      <c r="BG87" s="436"/>
      <c r="BH87" s="436"/>
      <c r="BI87" s="436"/>
      <c r="BJ87" s="436"/>
      <c r="BK87" s="436"/>
      <c r="BL87" s="436"/>
      <c r="BM87" s="436"/>
      <c r="BN87" s="436"/>
      <c r="BO87" s="436"/>
      <c r="BP87" s="436"/>
      <c r="BQ87" s="436"/>
      <c r="BR87" s="436"/>
      <c r="BS87" s="436"/>
      <c r="BT87" s="436"/>
      <c r="BU87" s="436"/>
      <c r="BV87" s="436"/>
      <c r="BW87" s="436"/>
      <c r="BX87" s="436"/>
      <c r="BY87" s="436"/>
      <c r="BZ87" s="436"/>
      <c r="CA87" s="436"/>
      <c r="CB87" s="436"/>
      <c r="CC87" s="436"/>
      <c r="CD87" s="436"/>
      <c r="CE87" s="437">
        <f>SUM(IF(COLUMN($C87:$CD87)&lt;(3+'2、试卷（期末）'!$B$2),$C87:$CD87,))</f>
        <v>0</v>
      </c>
      <c r="CF87" s="437">
        <f>SUM(IF(COLUMN($C87:$CD87)&lt;(3+SUM('2、试卷（期末）'!$B$2:$B$3)),$C87:$CD87,))-$CE87</f>
        <v>0</v>
      </c>
      <c r="CG87" s="437">
        <f>SUM(IF(COLUMN($C87:$CD87)&lt;(3+SUM('2、试卷（期末）'!$B$2:$B$4)),$C87:$CD87,))-SUM($CE87:$CF87)</f>
        <v>0</v>
      </c>
      <c r="CH87" s="437">
        <f>SUM(IF(COLUMN($C87:$CD87)&lt;(3+SUM('2、试卷（期末）'!$B$2:$B$5)),$C87:$CD87,))-SUM($CE87:$CG87)</f>
        <v>0</v>
      </c>
      <c r="CI87" s="437">
        <f>SUM(IF(COLUMN($C87:$CD87)&lt;(3+SUM('2、试卷（期末）'!$B$2:$B$6)),$C87:$CD87,))-SUM($CE87:$CH87)</f>
        <v>0</v>
      </c>
      <c r="CJ87" s="437">
        <f>SUM(IF(COLUMN($C87:$CD87)&lt;(3+SUM('2、试卷（期末）'!$B$2:$B$7)),$C87:$CD87,))-SUM($CE87:$CI87)</f>
        <v>0</v>
      </c>
      <c r="CK87" s="437">
        <f>SUM(IF(COLUMN($C87:$CD87)&lt;(3+SUM('2、试卷（期末）'!$B$2:$B$8)),$C87:$CD87,))-SUM($CE87:$CJ87)</f>
        <v>0</v>
      </c>
      <c r="CL87" s="437">
        <f>SUM(IF(COLUMN($C87:$CD87)&lt;(3+SUM('2、试卷（期末）'!$B$2:$B$9)),$C87:$CD87,))-SUM($CE87:$CK87)</f>
        <v>0</v>
      </c>
      <c r="CM87" s="437">
        <f>SUM(IF(COLUMN($C87:$CD87)&lt;(3+SUM('2、试卷（期末）'!$B$2:$B$10)),$C87:$CD87,))-SUM($CE87:$CL87)</f>
        <v>0</v>
      </c>
      <c r="CN87" s="437">
        <f>SUM(IF(COLUMN($C87:$CD87)&lt;(3+SUM('2、试卷（期末）'!$B$2:$B$11)),$C87:$CD87,))-SUM($CE87:$CM87)</f>
        <v>0</v>
      </c>
      <c r="CO87" s="437">
        <f t="shared" si="2"/>
        <v>0</v>
      </c>
      <c r="CP87" s="438">
        <f ca="1">ROUND(CO87*'1、课程目标与考核方式'!$H$13/100+IF(ISERROR(VLOOKUP(A87,'4、平时成绩'!$A$2:$H$201,8,FALSE)),0,VLOOKUP(A87,'4、平时成绩'!$A$2:$H$201,8,FALSE)),0)</f>
        <v>0</v>
      </c>
    </row>
    <row r="88" s="32" customFormat="1" spans="1:94">
      <c r="A88" s="440"/>
      <c r="B88" s="440"/>
      <c r="C88" s="441"/>
      <c r="D88" s="436"/>
      <c r="E88" s="436"/>
      <c r="F88" s="436"/>
      <c r="G88" s="436"/>
      <c r="H88" s="436"/>
      <c r="I88" s="436"/>
      <c r="J88" s="436"/>
      <c r="K88" s="436"/>
      <c r="L88" s="436"/>
      <c r="M88" s="436"/>
      <c r="N88" s="436"/>
      <c r="O88" s="436"/>
      <c r="P88" s="436"/>
      <c r="Q88" s="436"/>
      <c r="R88" s="436"/>
      <c r="S88" s="436"/>
      <c r="T88" s="436"/>
      <c r="U88" s="436"/>
      <c r="V88" s="436"/>
      <c r="W88" s="436"/>
      <c r="X88" s="436"/>
      <c r="Y88" s="436"/>
      <c r="Z88" s="436"/>
      <c r="AA88" s="436"/>
      <c r="AB88" s="436"/>
      <c r="AC88" s="436"/>
      <c r="AD88" s="436"/>
      <c r="AE88" s="436"/>
      <c r="AF88" s="436"/>
      <c r="AG88" s="436"/>
      <c r="AH88" s="436"/>
      <c r="AI88" s="436"/>
      <c r="AJ88" s="436"/>
      <c r="AK88" s="436"/>
      <c r="AL88" s="436"/>
      <c r="AM88" s="436"/>
      <c r="AN88" s="436"/>
      <c r="AO88" s="436"/>
      <c r="AP88" s="436"/>
      <c r="AQ88" s="436"/>
      <c r="AR88" s="436"/>
      <c r="AS88" s="436"/>
      <c r="AT88" s="436"/>
      <c r="AU88" s="436"/>
      <c r="AV88" s="436"/>
      <c r="AW88" s="436"/>
      <c r="AX88" s="436"/>
      <c r="AY88" s="436"/>
      <c r="AZ88" s="436"/>
      <c r="BA88" s="436"/>
      <c r="BB88" s="436"/>
      <c r="BC88" s="436"/>
      <c r="BD88" s="436"/>
      <c r="BE88" s="436"/>
      <c r="BF88" s="436"/>
      <c r="BG88" s="436"/>
      <c r="BH88" s="436"/>
      <c r="BI88" s="436"/>
      <c r="BJ88" s="436"/>
      <c r="BK88" s="436"/>
      <c r="BL88" s="436"/>
      <c r="BM88" s="436"/>
      <c r="BN88" s="436"/>
      <c r="BO88" s="436"/>
      <c r="BP88" s="436"/>
      <c r="BQ88" s="436"/>
      <c r="BR88" s="436"/>
      <c r="BS88" s="436"/>
      <c r="BT88" s="436"/>
      <c r="BU88" s="436"/>
      <c r="BV88" s="436"/>
      <c r="BW88" s="436"/>
      <c r="BX88" s="436"/>
      <c r="BY88" s="436"/>
      <c r="BZ88" s="436"/>
      <c r="CA88" s="436"/>
      <c r="CB88" s="436"/>
      <c r="CC88" s="436"/>
      <c r="CD88" s="436"/>
      <c r="CE88" s="437">
        <f>SUM(IF(COLUMN($C88:$CD88)&lt;(3+'2、试卷（期末）'!$B$2),$C88:$CD88,))</f>
        <v>0</v>
      </c>
      <c r="CF88" s="437">
        <f>SUM(IF(COLUMN($C88:$CD88)&lt;(3+SUM('2、试卷（期末）'!$B$2:$B$3)),$C88:$CD88,))-$CE88</f>
        <v>0</v>
      </c>
      <c r="CG88" s="437">
        <f>SUM(IF(COLUMN($C88:$CD88)&lt;(3+SUM('2、试卷（期末）'!$B$2:$B$4)),$C88:$CD88,))-SUM($CE88:$CF88)</f>
        <v>0</v>
      </c>
      <c r="CH88" s="437">
        <f>SUM(IF(COLUMN($C88:$CD88)&lt;(3+SUM('2、试卷（期末）'!$B$2:$B$5)),$C88:$CD88,))-SUM($CE88:$CG88)</f>
        <v>0</v>
      </c>
      <c r="CI88" s="437">
        <f>SUM(IF(COLUMN($C88:$CD88)&lt;(3+SUM('2、试卷（期末）'!$B$2:$B$6)),$C88:$CD88,))-SUM($CE88:$CH88)</f>
        <v>0</v>
      </c>
      <c r="CJ88" s="437">
        <f>SUM(IF(COLUMN($C88:$CD88)&lt;(3+SUM('2、试卷（期末）'!$B$2:$B$7)),$C88:$CD88,))-SUM($CE88:$CI88)</f>
        <v>0</v>
      </c>
      <c r="CK88" s="437">
        <f>SUM(IF(COLUMN($C88:$CD88)&lt;(3+SUM('2、试卷（期末）'!$B$2:$B$8)),$C88:$CD88,))-SUM($CE88:$CJ88)</f>
        <v>0</v>
      </c>
      <c r="CL88" s="437">
        <f>SUM(IF(COLUMN($C88:$CD88)&lt;(3+SUM('2、试卷（期末）'!$B$2:$B$9)),$C88:$CD88,))-SUM($CE88:$CK88)</f>
        <v>0</v>
      </c>
      <c r="CM88" s="437">
        <f>SUM(IF(COLUMN($C88:$CD88)&lt;(3+SUM('2、试卷（期末）'!$B$2:$B$10)),$C88:$CD88,))-SUM($CE88:$CL88)</f>
        <v>0</v>
      </c>
      <c r="CN88" s="437">
        <f>SUM(IF(COLUMN($C88:$CD88)&lt;(3+SUM('2、试卷（期末）'!$B$2:$B$11)),$C88:$CD88,))-SUM($CE88:$CM88)</f>
        <v>0</v>
      </c>
      <c r="CO88" s="437">
        <f t="shared" si="2"/>
        <v>0</v>
      </c>
      <c r="CP88" s="438">
        <f ca="1">ROUND(CO88*'1、课程目标与考核方式'!$H$13/100+IF(ISERROR(VLOOKUP(A88,'4、平时成绩'!$A$2:$H$201,8,FALSE)),0,VLOOKUP(A88,'4、平时成绩'!$A$2:$H$201,8,FALSE)),0)</f>
        <v>0</v>
      </c>
    </row>
    <row r="89" s="32" customFormat="1" spans="1:94">
      <c r="A89" s="440"/>
      <c r="B89" s="440"/>
      <c r="C89" s="441"/>
      <c r="D89" s="436"/>
      <c r="E89" s="436"/>
      <c r="F89" s="436"/>
      <c r="G89" s="436"/>
      <c r="H89" s="436"/>
      <c r="I89" s="436"/>
      <c r="J89" s="436"/>
      <c r="K89" s="436"/>
      <c r="L89" s="436"/>
      <c r="M89" s="436"/>
      <c r="N89" s="436"/>
      <c r="O89" s="436"/>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c r="AO89" s="436"/>
      <c r="AP89" s="436"/>
      <c r="AQ89" s="436"/>
      <c r="AR89" s="436"/>
      <c r="AS89" s="436"/>
      <c r="AT89" s="436"/>
      <c r="AU89" s="436"/>
      <c r="AV89" s="436"/>
      <c r="AW89" s="436"/>
      <c r="AX89" s="436"/>
      <c r="AY89" s="436"/>
      <c r="AZ89" s="436"/>
      <c r="BA89" s="436"/>
      <c r="BB89" s="436"/>
      <c r="BC89" s="436"/>
      <c r="BD89" s="436"/>
      <c r="BE89" s="436"/>
      <c r="BF89" s="436"/>
      <c r="BG89" s="436"/>
      <c r="BH89" s="436"/>
      <c r="BI89" s="436"/>
      <c r="BJ89" s="436"/>
      <c r="BK89" s="436"/>
      <c r="BL89" s="436"/>
      <c r="BM89" s="436"/>
      <c r="BN89" s="436"/>
      <c r="BO89" s="436"/>
      <c r="BP89" s="436"/>
      <c r="BQ89" s="436"/>
      <c r="BR89" s="436"/>
      <c r="BS89" s="436"/>
      <c r="BT89" s="436"/>
      <c r="BU89" s="436"/>
      <c r="BV89" s="436"/>
      <c r="BW89" s="436"/>
      <c r="BX89" s="436"/>
      <c r="BY89" s="436"/>
      <c r="BZ89" s="436"/>
      <c r="CA89" s="436"/>
      <c r="CB89" s="436"/>
      <c r="CC89" s="436"/>
      <c r="CD89" s="436"/>
      <c r="CE89" s="437">
        <f>SUM(IF(COLUMN($C89:$CD89)&lt;(3+'2、试卷（期末）'!$B$2),$C89:$CD89,))</f>
        <v>0</v>
      </c>
      <c r="CF89" s="437">
        <f>SUM(IF(COLUMN($C89:$CD89)&lt;(3+SUM('2、试卷（期末）'!$B$2:$B$3)),$C89:$CD89,))-$CE89</f>
        <v>0</v>
      </c>
      <c r="CG89" s="437">
        <f>SUM(IF(COLUMN($C89:$CD89)&lt;(3+SUM('2、试卷（期末）'!$B$2:$B$4)),$C89:$CD89,))-SUM($CE89:$CF89)</f>
        <v>0</v>
      </c>
      <c r="CH89" s="437">
        <f>SUM(IF(COLUMN($C89:$CD89)&lt;(3+SUM('2、试卷（期末）'!$B$2:$B$5)),$C89:$CD89,))-SUM($CE89:$CG89)</f>
        <v>0</v>
      </c>
      <c r="CI89" s="437">
        <f>SUM(IF(COLUMN($C89:$CD89)&lt;(3+SUM('2、试卷（期末）'!$B$2:$B$6)),$C89:$CD89,))-SUM($CE89:$CH89)</f>
        <v>0</v>
      </c>
      <c r="CJ89" s="437">
        <f>SUM(IF(COLUMN($C89:$CD89)&lt;(3+SUM('2、试卷（期末）'!$B$2:$B$7)),$C89:$CD89,))-SUM($CE89:$CI89)</f>
        <v>0</v>
      </c>
      <c r="CK89" s="437">
        <f>SUM(IF(COLUMN($C89:$CD89)&lt;(3+SUM('2、试卷（期末）'!$B$2:$B$8)),$C89:$CD89,))-SUM($CE89:$CJ89)</f>
        <v>0</v>
      </c>
      <c r="CL89" s="437">
        <f>SUM(IF(COLUMN($C89:$CD89)&lt;(3+SUM('2、试卷（期末）'!$B$2:$B$9)),$C89:$CD89,))-SUM($CE89:$CK89)</f>
        <v>0</v>
      </c>
      <c r="CM89" s="437">
        <f>SUM(IF(COLUMN($C89:$CD89)&lt;(3+SUM('2、试卷（期末）'!$B$2:$B$10)),$C89:$CD89,))-SUM($CE89:$CL89)</f>
        <v>0</v>
      </c>
      <c r="CN89" s="437">
        <f>SUM(IF(COLUMN($C89:$CD89)&lt;(3+SUM('2、试卷（期末）'!$B$2:$B$11)),$C89:$CD89,))-SUM($CE89:$CM89)</f>
        <v>0</v>
      </c>
      <c r="CO89" s="437">
        <f t="shared" si="2"/>
        <v>0</v>
      </c>
      <c r="CP89" s="438">
        <f ca="1">ROUND(CO89*'1、课程目标与考核方式'!$H$13/100+IF(ISERROR(VLOOKUP(A89,'4、平时成绩'!$A$2:$H$201,8,FALSE)),0,VLOOKUP(A89,'4、平时成绩'!$A$2:$H$201,8,FALSE)),0)</f>
        <v>0</v>
      </c>
    </row>
    <row r="90" s="32" customFormat="1" spans="1:94">
      <c r="A90" s="440"/>
      <c r="B90" s="440"/>
      <c r="C90" s="441"/>
      <c r="D90" s="436"/>
      <c r="E90" s="436"/>
      <c r="F90" s="436"/>
      <c r="G90" s="436"/>
      <c r="H90" s="436"/>
      <c r="I90" s="436"/>
      <c r="J90" s="436"/>
      <c r="K90" s="436"/>
      <c r="L90" s="436"/>
      <c r="M90" s="436"/>
      <c r="N90" s="436"/>
      <c r="O90" s="436"/>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c r="AO90" s="436"/>
      <c r="AP90" s="436"/>
      <c r="AQ90" s="436"/>
      <c r="AR90" s="436"/>
      <c r="AS90" s="436"/>
      <c r="AT90" s="436"/>
      <c r="AU90" s="436"/>
      <c r="AV90" s="436"/>
      <c r="AW90" s="436"/>
      <c r="AX90" s="436"/>
      <c r="AY90" s="436"/>
      <c r="AZ90" s="436"/>
      <c r="BA90" s="436"/>
      <c r="BB90" s="436"/>
      <c r="BC90" s="436"/>
      <c r="BD90" s="436"/>
      <c r="BE90" s="436"/>
      <c r="BF90" s="436"/>
      <c r="BG90" s="436"/>
      <c r="BH90" s="436"/>
      <c r="BI90" s="436"/>
      <c r="BJ90" s="436"/>
      <c r="BK90" s="436"/>
      <c r="BL90" s="436"/>
      <c r="BM90" s="436"/>
      <c r="BN90" s="436"/>
      <c r="BO90" s="436"/>
      <c r="BP90" s="436"/>
      <c r="BQ90" s="436"/>
      <c r="BR90" s="436"/>
      <c r="BS90" s="436"/>
      <c r="BT90" s="436"/>
      <c r="BU90" s="436"/>
      <c r="BV90" s="436"/>
      <c r="BW90" s="436"/>
      <c r="BX90" s="436"/>
      <c r="BY90" s="436"/>
      <c r="BZ90" s="436"/>
      <c r="CA90" s="436"/>
      <c r="CB90" s="436"/>
      <c r="CC90" s="436"/>
      <c r="CD90" s="436"/>
      <c r="CE90" s="437">
        <f>SUM(IF(COLUMN($C90:$CD90)&lt;(3+'2、试卷（期末）'!$B$2),$C90:$CD90,))</f>
        <v>0</v>
      </c>
      <c r="CF90" s="437">
        <f>SUM(IF(COLUMN($C90:$CD90)&lt;(3+SUM('2、试卷（期末）'!$B$2:$B$3)),$C90:$CD90,))-$CE90</f>
        <v>0</v>
      </c>
      <c r="CG90" s="437">
        <f>SUM(IF(COLUMN($C90:$CD90)&lt;(3+SUM('2、试卷（期末）'!$B$2:$B$4)),$C90:$CD90,))-SUM($CE90:$CF90)</f>
        <v>0</v>
      </c>
      <c r="CH90" s="437">
        <f>SUM(IF(COLUMN($C90:$CD90)&lt;(3+SUM('2、试卷（期末）'!$B$2:$B$5)),$C90:$CD90,))-SUM($CE90:$CG90)</f>
        <v>0</v>
      </c>
      <c r="CI90" s="437">
        <f>SUM(IF(COLUMN($C90:$CD90)&lt;(3+SUM('2、试卷（期末）'!$B$2:$B$6)),$C90:$CD90,))-SUM($CE90:$CH90)</f>
        <v>0</v>
      </c>
      <c r="CJ90" s="437">
        <f>SUM(IF(COLUMN($C90:$CD90)&lt;(3+SUM('2、试卷（期末）'!$B$2:$B$7)),$C90:$CD90,))-SUM($CE90:$CI90)</f>
        <v>0</v>
      </c>
      <c r="CK90" s="437">
        <f>SUM(IF(COLUMN($C90:$CD90)&lt;(3+SUM('2、试卷（期末）'!$B$2:$B$8)),$C90:$CD90,))-SUM($CE90:$CJ90)</f>
        <v>0</v>
      </c>
      <c r="CL90" s="437">
        <f>SUM(IF(COLUMN($C90:$CD90)&lt;(3+SUM('2、试卷（期末）'!$B$2:$B$9)),$C90:$CD90,))-SUM($CE90:$CK90)</f>
        <v>0</v>
      </c>
      <c r="CM90" s="437">
        <f>SUM(IF(COLUMN($C90:$CD90)&lt;(3+SUM('2、试卷（期末）'!$B$2:$B$10)),$C90:$CD90,))-SUM($CE90:$CL90)</f>
        <v>0</v>
      </c>
      <c r="CN90" s="437">
        <f>SUM(IF(COLUMN($C90:$CD90)&lt;(3+SUM('2、试卷（期末）'!$B$2:$B$11)),$C90:$CD90,))-SUM($CE90:$CM90)</f>
        <v>0</v>
      </c>
      <c r="CO90" s="437">
        <f t="shared" si="2"/>
        <v>0</v>
      </c>
      <c r="CP90" s="438">
        <f ca="1">ROUND(CO90*'1、课程目标与考核方式'!$H$13/100+IF(ISERROR(VLOOKUP(A90,'4、平时成绩'!$A$2:$H$201,8,FALSE)),0,VLOOKUP(A90,'4、平时成绩'!$A$2:$H$201,8,FALSE)),0)</f>
        <v>0</v>
      </c>
    </row>
    <row r="91" s="32" customFormat="1" spans="1:94">
      <c r="A91" s="440"/>
      <c r="B91" s="440"/>
      <c r="C91" s="441"/>
      <c r="D91" s="436"/>
      <c r="E91" s="436"/>
      <c r="F91" s="436"/>
      <c r="G91" s="436"/>
      <c r="H91" s="436"/>
      <c r="I91" s="436"/>
      <c r="J91" s="436"/>
      <c r="K91" s="436"/>
      <c r="L91" s="436"/>
      <c r="M91" s="436"/>
      <c r="N91" s="436"/>
      <c r="O91" s="436"/>
      <c r="P91" s="436"/>
      <c r="Q91" s="436"/>
      <c r="R91" s="436"/>
      <c r="S91" s="436"/>
      <c r="T91" s="436"/>
      <c r="U91" s="436"/>
      <c r="V91" s="436"/>
      <c r="W91" s="436"/>
      <c r="X91" s="436"/>
      <c r="Y91" s="436"/>
      <c r="Z91" s="436"/>
      <c r="AA91" s="436"/>
      <c r="AB91" s="436"/>
      <c r="AC91" s="436"/>
      <c r="AD91" s="436"/>
      <c r="AE91" s="436"/>
      <c r="AF91" s="436"/>
      <c r="AG91" s="436"/>
      <c r="AH91" s="436"/>
      <c r="AI91" s="436"/>
      <c r="AJ91" s="436"/>
      <c r="AK91" s="436"/>
      <c r="AL91" s="436"/>
      <c r="AM91" s="436"/>
      <c r="AN91" s="436"/>
      <c r="AO91" s="436"/>
      <c r="AP91" s="436"/>
      <c r="AQ91" s="436"/>
      <c r="AR91" s="436"/>
      <c r="AS91" s="436"/>
      <c r="AT91" s="436"/>
      <c r="AU91" s="436"/>
      <c r="AV91" s="436"/>
      <c r="AW91" s="436"/>
      <c r="AX91" s="436"/>
      <c r="AY91" s="436"/>
      <c r="AZ91" s="436"/>
      <c r="BA91" s="436"/>
      <c r="BB91" s="436"/>
      <c r="BC91" s="436"/>
      <c r="BD91" s="436"/>
      <c r="BE91" s="436"/>
      <c r="BF91" s="436"/>
      <c r="BG91" s="436"/>
      <c r="BH91" s="436"/>
      <c r="BI91" s="436"/>
      <c r="BJ91" s="436"/>
      <c r="BK91" s="436"/>
      <c r="BL91" s="436"/>
      <c r="BM91" s="436"/>
      <c r="BN91" s="436"/>
      <c r="BO91" s="436"/>
      <c r="BP91" s="436"/>
      <c r="BQ91" s="436"/>
      <c r="BR91" s="436"/>
      <c r="BS91" s="436"/>
      <c r="BT91" s="436"/>
      <c r="BU91" s="436"/>
      <c r="BV91" s="436"/>
      <c r="BW91" s="436"/>
      <c r="BX91" s="436"/>
      <c r="BY91" s="436"/>
      <c r="BZ91" s="436"/>
      <c r="CA91" s="436"/>
      <c r="CB91" s="436"/>
      <c r="CC91" s="436"/>
      <c r="CD91" s="436"/>
      <c r="CE91" s="437">
        <f>SUM(IF(COLUMN($C91:$CD91)&lt;(3+'2、试卷（期末）'!$B$2),$C91:$CD91,))</f>
        <v>0</v>
      </c>
      <c r="CF91" s="437">
        <f>SUM(IF(COLUMN($C91:$CD91)&lt;(3+SUM('2、试卷（期末）'!$B$2:$B$3)),$C91:$CD91,))-$CE91</f>
        <v>0</v>
      </c>
      <c r="CG91" s="437">
        <f>SUM(IF(COLUMN($C91:$CD91)&lt;(3+SUM('2、试卷（期末）'!$B$2:$B$4)),$C91:$CD91,))-SUM($CE91:$CF91)</f>
        <v>0</v>
      </c>
      <c r="CH91" s="437">
        <f>SUM(IF(COLUMN($C91:$CD91)&lt;(3+SUM('2、试卷（期末）'!$B$2:$B$5)),$C91:$CD91,))-SUM($CE91:$CG91)</f>
        <v>0</v>
      </c>
      <c r="CI91" s="437">
        <f>SUM(IF(COLUMN($C91:$CD91)&lt;(3+SUM('2、试卷（期末）'!$B$2:$B$6)),$C91:$CD91,))-SUM($CE91:$CH91)</f>
        <v>0</v>
      </c>
      <c r="CJ91" s="437">
        <f>SUM(IF(COLUMN($C91:$CD91)&lt;(3+SUM('2、试卷（期末）'!$B$2:$B$7)),$C91:$CD91,))-SUM($CE91:$CI91)</f>
        <v>0</v>
      </c>
      <c r="CK91" s="437">
        <f>SUM(IF(COLUMN($C91:$CD91)&lt;(3+SUM('2、试卷（期末）'!$B$2:$B$8)),$C91:$CD91,))-SUM($CE91:$CJ91)</f>
        <v>0</v>
      </c>
      <c r="CL91" s="437">
        <f>SUM(IF(COLUMN($C91:$CD91)&lt;(3+SUM('2、试卷（期末）'!$B$2:$B$9)),$C91:$CD91,))-SUM($CE91:$CK91)</f>
        <v>0</v>
      </c>
      <c r="CM91" s="437">
        <f>SUM(IF(COLUMN($C91:$CD91)&lt;(3+SUM('2、试卷（期末）'!$B$2:$B$10)),$C91:$CD91,))-SUM($CE91:$CL91)</f>
        <v>0</v>
      </c>
      <c r="CN91" s="437">
        <f>SUM(IF(COLUMN($C91:$CD91)&lt;(3+SUM('2、试卷（期末）'!$B$2:$B$11)),$C91:$CD91,))-SUM($CE91:$CM91)</f>
        <v>0</v>
      </c>
      <c r="CO91" s="437">
        <f t="shared" si="2"/>
        <v>0</v>
      </c>
      <c r="CP91" s="438">
        <f ca="1">ROUND(CO91*'1、课程目标与考核方式'!$H$13/100+IF(ISERROR(VLOOKUP(A91,'4、平时成绩'!$A$2:$H$201,8,FALSE)),0,VLOOKUP(A91,'4、平时成绩'!$A$2:$H$201,8,FALSE)),0)</f>
        <v>0</v>
      </c>
    </row>
    <row r="92" s="32" customFormat="1" spans="1:94">
      <c r="A92" s="440"/>
      <c r="B92" s="440"/>
      <c r="C92" s="441"/>
      <c r="D92" s="436"/>
      <c r="E92" s="436"/>
      <c r="F92" s="436"/>
      <c r="G92" s="436"/>
      <c r="H92" s="436"/>
      <c r="I92" s="436"/>
      <c r="J92" s="436"/>
      <c r="K92" s="436"/>
      <c r="L92" s="436"/>
      <c r="M92" s="436"/>
      <c r="N92" s="436"/>
      <c r="O92" s="436"/>
      <c r="P92" s="436"/>
      <c r="Q92" s="436"/>
      <c r="R92" s="436"/>
      <c r="S92" s="436"/>
      <c r="T92" s="436"/>
      <c r="U92" s="436"/>
      <c r="V92" s="436"/>
      <c r="W92" s="436"/>
      <c r="X92" s="436"/>
      <c r="Y92" s="436"/>
      <c r="Z92" s="436"/>
      <c r="AA92" s="436"/>
      <c r="AB92" s="436"/>
      <c r="AC92" s="436"/>
      <c r="AD92" s="436"/>
      <c r="AE92" s="436"/>
      <c r="AF92" s="436"/>
      <c r="AG92" s="436"/>
      <c r="AH92" s="436"/>
      <c r="AI92" s="436"/>
      <c r="AJ92" s="436"/>
      <c r="AK92" s="436"/>
      <c r="AL92" s="436"/>
      <c r="AM92" s="436"/>
      <c r="AN92" s="436"/>
      <c r="AO92" s="436"/>
      <c r="AP92" s="436"/>
      <c r="AQ92" s="436"/>
      <c r="AR92" s="436"/>
      <c r="AS92" s="436"/>
      <c r="AT92" s="436"/>
      <c r="AU92" s="436"/>
      <c r="AV92" s="436"/>
      <c r="AW92" s="436"/>
      <c r="AX92" s="436"/>
      <c r="AY92" s="436"/>
      <c r="AZ92" s="436"/>
      <c r="BA92" s="436"/>
      <c r="BB92" s="436"/>
      <c r="BC92" s="436"/>
      <c r="BD92" s="436"/>
      <c r="BE92" s="436"/>
      <c r="BF92" s="436"/>
      <c r="BG92" s="436"/>
      <c r="BH92" s="436"/>
      <c r="BI92" s="436"/>
      <c r="BJ92" s="436"/>
      <c r="BK92" s="436"/>
      <c r="BL92" s="436"/>
      <c r="BM92" s="436"/>
      <c r="BN92" s="436"/>
      <c r="BO92" s="436"/>
      <c r="BP92" s="436"/>
      <c r="BQ92" s="436"/>
      <c r="BR92" s="436"/>
      <c r="BS92" s="436"/>
      <c r="BT92" s="436"/>
      <c r="BU92" s="436"/>
      <c r="BV92" s="436"/>
      <c r="BW92" s="436"/>
      <c r="BX92" s="436"/>
      <c r="BY92" s="436"/>
      <c r="BZ92" s="436"/>
      <c r="CA92" s="436"/>
      <c r="CB92" s="436"/>
      <c r="CC92" s="436"/>
      <c r="CD92" s="436"/>
      <c r="CE92" s="437">
        <f>SUM(IF(COLUMN($C92:$CD92)&lt;(3+'2、试卷（期末）'!$B$2),$C92:$CD92,))</f>
        <v>0</v>
      </c>
      <c r="CF92" s="437">
        <f>SUM(IF(COLUMN($C92:$CD92)&lt;(3+SUM('2、试卷（期末）'!$B$2:$B$3)),$C92:$CD92,))-$CE92</f>
        <v>0</v>
      </c>
      <c r="CG92" s="437">
        <f>SUM(IF(COLUMN($C92:$CD92)&lt;(3+SUM('2、试卷（期末）'!$B$2:$B$4)),$C92:$CD92,))-SUM($CE92:$CF92)</f>
        <v>0</v>
      </c>
      <c r="CH92" s="437">
        <f>SUM(IF(COLUMN($C92:$CD92)&lt;(3+SUM('2、试卷（期末）'!$B$2:$B$5)),$C92:$CD92,))-SUM($CE92:$CG92)</f>
        <v>0</v>
      </c>
      <c r="CI92" s="437">
        <f>SUM(IF(COLUMN($C92:$CD92)&lt;(3+SUM('2、试卷（期末）'!$B$2:$B$6)),$C92:$CD92,))-SUM($CE92:$CH92)</f>
        <v>0</v>
      </c>
      <c r="CJ92" s="437">
        <f>SUM(IF(COLUMN($C92:$CD92)&lt;(3+SUM('2、试卷（期末）'!$B$2:$B$7)),$C92:$CD92,))-SUM($CE92:$CI92)</f>
        <v>0</v>
      </c>
      <c r="CK92" s="437">
        <f>SUM(IF(COLUMN($C92:$CD92)&lt;(3+SUM('2、试卷（期末）'!$B$2:$B$8)),$C92:$CD92,))-SUM($CE92:$CJ92)</f>
        <v>0</v>
      </c>
      <c r="CL92" s="437">
        <f>SUM(IF(COLUMN($C92:$CD92)&lt;(3+SUM('2、试卷（期末）'!$B$2:$B$9)),$C92:$CD92,))-SUM($CE92:$CK92)</f>
        <v>0</v>
      </c>
      <c r="CM92" s="437">
        <f>SUM(IF(COLUMN($C92:$CD92)&lt;(3+SUM('2、试卷（期末）'!$B$2:$B$10)),$C92:$CD92,))-SUM($CE92:$CL92)</f>
        <v>0</v>
      </c>
      <c r="CN92" s="437">
        <f>SUM(IF(COLUMN($C92:$CD92)&lt;(3+SUM('2、试卷（期末）'!$B$2:$B$11)),$C92:$CD92,))-SUM($CE92:$CM92)</f>
        <v>0</v>
      </c>
      <c r="CO92" s="437">
        <f t="shared" si="2"/>
        <v>0</v>
      </c>
      <c r="CP92" s="438">
        <f ca="1">ROUND(CO92*'1、课程目标与考核方式'!$H$13/100+IF(ISERROR(VLOOKUP(A92,'4、平时成绩'!$A$2:$H$201,8,FALSE)),0,VLOOKUP(A92,'4、平时成绩'!$A$2:$H$201,8,FALSE)),0)</f>
        <v>0</v>
      </c>
    </row>
    <row r="93" s="32" customFormat="1" spans="1:94">
      <c r="A93" s="440"/>
      <c r="B93" s="440"/>
      <c r="C93" s="441"/>
      <c r="D93" s="436"/>
      <c r="E93" s="436"/>
      <c r="F93" s="436"/>
      <c r="G93" s="436"/>
      <c r="H93" s="436"/>
      <c r="I93" s="436"/>
      <c r="J93" s="436"/>
      <c r="K93" s="436"/>
      <c r="L93" s="436"/>
      <c r="M93" s="436"/>
      <c r="N93" s="436"/>
      <c r="O93" s="436"/>
      <c r="P93" s="436"/>
      <c r="Q93" s="436"/>
      <c r="R93" s="436"/>
      <c r="S93" s="436"/>
      <c r="T93" s="436"/>
      <c r="U93" s="436"/>
      <c r="V93" s="436"/>
      <c r="W93" s="436"/>
      <c r="X93" s="436"/>
      <c r="Y93" s="436"/>
      <c r="Z93" s="436"/>
      <c r="AA93" s="436"/>
      <c r="AB93" s="436"/>
      <c r="AC93" s="436"/>
      <c r="AD93" s="436"/>
      <c r="AE93" s="436"/>
      <c r="AF93" s="436"/>
      <c r="AG93" s="436"/>
      <c r="AH93" s="436"/>
      <c r="AI93" s="436"/>
      <c r="AJ93" s="436"/>
      <c r="AK93" s="436"/>
      <c r="AL93" s="436"/>
      <c r="AM93" s="436"/>
      <c r="AN93" s="436"/>
      <c r="AO93" s="436"/>
      <c r="AP93" s="436"/>
      <c r="AQ93" s="436"/>
      <c r="AR93" s="436"/>
      <c r="AS93" s="436"/>
      <c r="AT93" s="436"/>
      <c r="AU93" s="436"/>
      <c r="AV93" s="436"/>
      <c r="AW93" s="436"/>
      <c r="AX93" s="436"/>
      <c r="AY93" s="436"/>
      <c r="AZ93" s="436"/>
      <c r="BA93" s="436"/>
      <c r="BB93" s="436"/>
      <c r="BC93" s="436"/>
      <c r="BD93" s="436"/>
      <c r="BE93" s="436"/>
      <c r="BF93" s="436"/>
      <c r="BG93" s="436"/>
      <c r="BH93" s="436"/>
      <c r="BI93" s="436"/>
      <c r="BJ93" s="436"/>
      <c r="BK93" s="436"/>
      <c r="BL93" s="436"/>
      <c r="BM93" s="436"/>
      <c r="BN93" s="436"/>
      <c r="BO93" s="436"/>
      <c r="BP93" s="436"/>
      <c r="BQ93" s="436"/>
      <c r="BR93" s="436"/>
      <c r="BS93" s="436"/>
      <c r="BT93" s="436"/>
      <c r="BU93" s="436"/>
      <c r="BV93" s="436"/>
      <c r="BW93" s="436"/>
      <c r="BX93" s="436"/>
      <c r="BY93" s="436"/>
      <c r="BZ93" s="436"/>
      <c r="CA93" s="436"/>
      <c r="CB93" s="436"/>
      <c r="CC93" s="436"/>
      <c r="CD93" s="436"/>
      <c r="CE93" s="437">
        <f>SUM(IF(COLUMN($C93:$CD93)&lt;(3+'2、试卷（期末）'!$B$2),$C93:$CD93,))</f>
        <v>0</v>
      </c>
      <c r="CF93" s="437">
        <f>SUM(IF(COLUMN($C93:$CD93)&lt;(3+SUM('2、试卷（期末）'!$B$2:$B$3)),$C93:$CD93,))-$CE93</f>
        <v>0</v>
      </c>
      <c r="CG93" s="437">
        <f>SUM(IF(COLUMN($C93:$CD93)&lt;(3+SUM('2、试卷（期末）'!$B$2:$B$4)),$C93:$CD93,))-SUM($CE93:$CF93)</f>
        <v>0</v>
      </c>
      <c r="CH93" s="437">
        <f>SUM(IF(COLUMN($C93:$CD93)&lt;(3+SUM('2、试卷（期末）'!$B$2:$B$5)),$C93:$CD93,))-SUM($CE93:$CG93)</f>
        <v>0</v>
      </c>
      <c r="CI93" s="437">
        <f>SUM(IF(COLUMN($C93:$CD93)&lt;(3+SUM('2、试卷（期末）'!$B$2:$B$6)),$C93:$CD93,))-SUM($CE93:$CH93)</f>
        <v>0</v>
      </c>
      <c r="CJ93" s="437">
        <f>SUM(IF(COLUMN($C93:$CD93)&lt;(3+SUM('2、试卷（期末）'!$B$2:$B$7)),$C93:$CD93,))-SUM($CE93:$CI93)</f>
        <v>0</v>
      </c>
      <c r="CK93" s="437">
        <f>SUM(IF(COLUMN($C93:$CD93)&lt;(3+SUM('2、试卷（期末）'!$B$2:$B$8)),$C93:$CD93,))-SUM($CE93:$CJ93)</f>
        <v>0</v>
      </c>
      <c r="CL93" s="437">
        <f>SUM(IF(COLUMN($C93:$CD93)&lt;(3+SUM('2、试卷（期末）'!$B$2:$B$9)),$C93:$CD93,))-SUM($CE93:$CK93)</f>
        <v>0</v>
      </c>
      <c r="CM93" s="437">
        <f>SUM(IF(COLUMN($C93:$CD93)&lt;(3+SUM('2、试卷（期末）'!$B$2:$B$10)),$C93:$CD93,))-SUM($CE93:$CL93)</f>
        <v>0</v>
      </c>
      <c r="CN93" s="437">
        <f>SUM(IF(COLUMN($C93:$CD93)&lt;(3+SUM('2、试卷（期末）'!$B$2:$B$11)),$C93:$CD93,))-SUM($CE93:$CM93)</f>
        <v>0</v>
      </c>
      <c r="CO93" s="437">
        <f t="shared" si="2"/>
        <v>0</v>
      </c>
      <c r="CP93" s="438">
        <f ca="1">ROUND(CO93*'1、课程目标与考核方式'!$H$13/100+IF(ISERROR(VLOOKUP(A93,'4、平时成绩'!$A$2:$H$201,8,FALSE)),0,VLOOKUP(A93,'4、平时成绩'!$A$2:$H$201,8,FALSE)),0)</f>
        <v>0</v>
      </c>
    </row>
    <row r="94" s="32" customFormat="1" spans="1:94">
      <c r="A94" s="440"/>
      <c r="B94" s="440"/>
      <c r="C94" s="441"/>
      <c r="D94" s="436"/>
      <c r="E94" s="436"/>
      <c r="F94" s="436"/>
      <c r="G94" s="436"/>
      <c r="H94" s="436"/>
      <c r="I94" s="436"/>
      <c r="J94" s="436"/>
      <c r="K94" s="436"/>
      <c r="L94" s="436"/>
      <c r="M94" s="436"/>
      <c r="N94" s="436"/>
      <c r="O94" s="436"/>
      <c r="P94" s="436"/>
      <c r="Q94" s="436"/>
      <c r="R94" s="436"/>
      <c r="S94" s="436"/>
      <c r="T94" s="436"/>
      <c r="U94" s="436"/>
      <c r="V94" s="436"/>
      <c r="W94" s="436"/>
      <c r="X94" s="436"/>
      <c r="Y94" s="436"/>
      <c r="Z94" s="436"/>
      <c r="AA94" s="436"/>
      <c r="AB94" s="436"/>
      <c r="AC94" s="436"/>
      <c r="AD94" s="436"/>
      <c r="AE94" s="436"/>
      <c r="AF94" s="436"/>
      <c r="AG94" s="436"/>
      <c r="AH94" s="436"/>
      <c r="AI94" s="436"/>
      <c r="AJ94" s="436"/>
      <c r="AK94" s="436"/>
      <c r="AL94" s="436"/>
      <c r="AM94" s="436"/>
      <c r="AN94" s="436"/>
      <c r="AO94" s="436"/>
      <c r="AP94" s="436"/>
      <c r="AQ94" s="436"/>
      <c r="AR94" s="436"/>
      <c r="AS94" s="436"/>
      <c r="AT94" s="436"/>
      <c r="AU94" s="436"/>
      <c r="AV94" s="436"/>
      <c r="AW94" s="436"/>
      <c r="AX94" s="436"/>
      <c r="AY94" s="436"/>
      <c r="AZ94" s="436"/>
      <c r="BA94" s="436"/>
      <c r="BB94" s="436"/>
      <c r="BC94" s="436"/>
      <c r="BD94" s="436"/>
      <c r="BE94" s="436"/>
      <c r="BF94" s="436"/>
      <c r="BG94" s="436"/>
      <c r="BH94" s="436"/>
      <c r="BI94" s="436"/>
      <c r="BJ94" s="436"/>
      <c r="BK94" s="436"/>
      <c r="BL94" s="436"/>
      <c r="BM94" s="436"/>
      <c r="BN94" s="436"/>
      <c r="BO94" s="436"/>
      <c r="BP94" s="436"/>
      <c r="BQ94" s="436"/>
      <c r="BR94" s="436"/>
      <c r="BS94" s="436"/>
      <c r="BT94" s="436"/>
      <c r="BU94" s="436"/>
      <c r="BV94" s="436"/>
      <c r="BW94" s="436"/>
      <c r="BX94" s="436"/>
      <c r="BY94" s="436"/>
      <c r="BZ94" s="436"/>
      <c r="CA94" s="436"/>
      <c r="CB94" s="436"/>
      <c r="CC94" s="436"/>
      <c r="CD94" s="436"/>
      <c r="CE94" s="437">
        <f>SUM(IF(COLUMN($C94:$CD94)&lt;(3+'2、试卷（期末）'!$B$2),$C94:$CD94,))</f>
        <v>0</v>
      </c>
      <c r="CF94" s="437">
        <f>SUM(IF(COLUMN($C94:$CD94)&lt;(3+SUM('2、试卷（期末）'!$B$2:$B$3)),$C94:$CD94,))-$CE94</f>
        <v>0</v>
      </c>
      <c r="CG94" s="437">
        <f>SUM(IF(COLUMN($C94:$CD94)&lt;(3+SUM('2、试卷（期末）'!$B$2:$B$4)),$C94:$CD94,))-SUM($CE94:$CF94)</f>
        <v>0</v>
      </c>
      <c r="CH94" s="437">
        <f>SUM(IF(COLUMN($C94:$CD94)&lt;(3+SUM('2、试卷（期末）'!$B$2:$B$5)),$C94:$CD94,))-SUM($CE94:$CG94)</f>
        <v>0</v>
      </c>
      <c r="CI94" s="437">
        <f>SUM(IF(COLUMN($C94:$CD94)&lt;(3+SUM('2、试卷（期末）'!$B$2:$B$6)),$C94:$CD94,))-SUM($CE94:$CH94)</f>
        <v>0</v>
      </c>
      <c r="CJ94" s="437">
        <f>SUM(IF(COLUMN($C94:$CD94)&lt;(3+SUM('2、试卷（期末）'!$B$2:$B$7)),$C94:$CD94,))-SUM($CE94:$CI94)</f>
        <v>0</v>
      </c>
      <c r="CK94" s="437">
        <f>SUM(IF(COLUMN($C94:$CD94)&lt;(3+SUM('2、试卷（期末）'!$B$2:$B$8)),$C94:$CD94,))-SUM($CE94:$CJ94)</f>
        <v>0</v>
      </c>
      <c r="CL94" s="437">
        <f>SUM(IF(COLUMN($C94:$CD94)&lt;(3+SUM('2、试卷（期末）'!$B$2:$B$9)),$C94:$CD94,))-SUM($CE94:$CK94)</f>
        <v>0</v>
      </c>
      <c r="CM94" s="437">
        <f>SUM(IF(COLUMN($C94:$CD94)&lt;(3+SUM('2、试卷（期末）'!$B$2:$B$10)),$C94:$CD94,))-SUM($CE94:$CL94)</f>
        <v>0</v>
      </c>
      <c r="CN94" s="437">
        <f>SUM(IF(COLUMN($C94:$CD94)&lt;(3+SUM('2、试卷（期末）'!$B$2:$B$11)),$C94:$CD94,))-SUM($CE94:$CM94)</f>
        <v>0</v>
      </c>
      <c r="CO94" s="437">
        <f t="shared" si="2"/>
        <v>0</v>
      </c>
      <c r="CP94" s="438">
        <f ca="1">ROUND(CO94*'1、课程目标与考核方式'!$H$13/100+IF(ISERROR(VLOOKUP(A94,'4、平时成绩'!$A$2:$H$201,8,FALSE)),0,VLOOKUP(A94,'4、平时成绩'!$A$2:$H$201,8,FALSE)),0)</f>
        <v>0</v>
      </c>
    </row>
    <row r="95" s="32" customFormat="1" spans="1:94">
      <c r="A95" s="440"/>
      <c r="B95" s="440"/>
      <c r="C95" s="441"/>
      <c r="D95" s="436"/>
      <c r="E95" s="436"/>
      <c r="F95" s="436"/>
      <c r="G95" s="436"/>
      <c r="H95" s="436"/>
      <c r="I95" s="436"/>
      <c r="J95" s="436"/>
      <c r="K95" s="436"/>
      <c r="L95" s="436"/>
      <c r="M95" s="436"/>
      <c r="N95" s="436"/>
      <c r="O95" s="436"/>
      <c r="P95" s="436"/>
      <c r="Q95" s="436"/>
      <c r="R95" s="436"/>
      <c r="S95" s="436"/>
      <c r="T95" s="436"/>
      <c r="U95" s="436"/>
      <c r="V95" s="436"/>
      <c r="W95" s="436"/>
      <c r="X95" s="436"/>
      <c r="Y95" s="436"/>
      <c r="Z95" s="436"/>
      <c r="AA95" s="436"/>
      <c r="AB95" s="436"/>
      <c r="AC95" s="436"/>
      <c r="AD95" s="436"/>
      <c r="AE95" s="436"/>
      <c r="AF95" s="436"/>
      <c r="AG95" s="436"/>
      <c r="AH95" s="436"/>
      <c r="AI95" s="436"/>
      <c r="AJ95" s="436"/>
      <c r="AK95" s="436"/>
      <c r="AL95" s="436"/>
      <c r="AM95" s="436"/>
      <c r="AN95" s="436"/>
      <c r="AO95" s="436"/>
      <c r="AP95" s="436"/>
      <c r="AQ95" s="436"/>
      <c r="AR95" s="436"/>
      <c r="AS95" s="436"/>
      <c r="AT95" s="436"/>
      <c r="AU95" s="436"/>
      <c r="AV95" s="436"/>
      <c r="AW95" s="436"/>
      <c r="AX95" s="436"/>
      <c r="AY95" s="436"/>
      <c r="AZ95" s="436"/>
      <c r="BA95" s="436"/>
      <c r="BB95" s="436"/>
      <c r="BC95" s="436"/>
      <c r="BD95" s="436"/>
      <c r="BE95" s="436"/>
      <c r="BF95" s="436"/>
      <c r="BG95" s="436"/>
      <c r="BH95" s="436"/>
      <c r="BI95" s="436"/>
      <c r="BJ95" s="436"/>
      <c r="BK95" s="436"/>
      <c r="BL95" s="436"/>
      <c r="BM95" s="436"/>
      <c r="BN95" s="436"/>
      <c r="BO95" s="436"/>
      <c r="BP95" s="436"/>
      <c r="BQ95" s="436"/>
      <c r="BR95" s="436"/>
      <c r="BS95" s="436"/>
      <c r="BT95" s="436"/>
      <c r="BU95" s="436"/>
      <c r="BV95" s="436"/>
      <c r="BW95" s="436"/>
      <c r="BX95" s="436"/>
      <c r="BY95" s="436"/>
      <c r="BZ95" s="436"/>
      <c r="CA95" s="436"/>
      <c r="CB95" s="436"/>
      <c r="CC95" s="436"/>
      <c r="CD95" s="436"/>
      <c r="CE95" s="437">
        <f>SUM(IF(COLUMN($C95:$CD95)&lt;(3+'2、试卷（期末）'!$B$2),$C95:$CD95,))</f>
        <v>0</v>
      </c>
      <c r="CF95" s="437">
        <f>SUM(IF(COLUMN($C95:$CD95)&lt;(3+SUM('2、试卷（期末）'!$B$2:$B$3)),$C95:$CD95,))-$CE95</f>
        <v>0</v>
      </c>
      <c r="CG95" s="437">
        <f>SUM(IF(COLUMN($C95:$CD95)&lt;(3+SUM('2、试卷（期末）'!$B$2:$B$4)),$C95:$CD95,))-SUM($CE95:$CF95)</f>
        <v>0</v>
      </c>
      <c r="CH95" s="437">
        <f>SUM(IF(COLUMN($C95:$CD95)&lt;(3+SUM('2、试卷（期末）'!$B$2:$B$5)),$C95:$CD95,))-SUM($CE95:$CG95)</f>
        <v>0</v>
      </c>
      <c r="CI95" s="437">
        <f>SUM(IF(COLUMN($C95:$CD95)&lt;(3+SUM('2、试卷（期末）'!$B$2:$B$6)),$C95:$CD95,))-SUM($CE95:$CH95)</f>
        <v>0</v>
      </c>
      <c r="CJ95" s="437">
        <f>SUM(IF(COLUMN($C95:$CD95)&lt;(3+SUM('2、试卷（期末）'!$B$2:$B$7)),$C95:$CD95,))-SUM($CE95:$CI95)</f>
        <v>0</v>
      </c>
      <c r="CK95" s="437">
        <f>SUM(IF(COLUMN($C95:$CD95)&lt;(3+SUM('2、试卷（期末）'!$B$2:$B$8)),$C95:$CD95,))-SUM($CE95:$CJ95)</f>
        <v>0</v>
      </c>
      <c r="CL95" s="437">
        <f>SUM(IF(COLUMN($C95:$CD95)&lt;(3+SUM('2、试卷（期末）'!$B$2:$B$9)),$C95:$CD95,))-SUM($CE95:$CK95)</f>
        <v>0</v>
      </c>
      <c r="CM95" s="437">
        <f>SUM(IF(COLUMN($C95:$CD95)&lt;(3+SUM('2、试卷（期末）'!$B$2:$B$10)),$C95:$CD95,))-SUM($CE95:$CL95)</f>
        <v>0</v>
      </c>
      <c r="CN95" s="437">
        <f>SUM(IF(COLUMN($C95:$CD95)&lt;(3+SUM('2、试卷（期末）'!$B$2:$B$11)),$C95:$CD95,))-SUM($CE95:$CM95)</f>
        <v>0</v>
      </c>
      <c r="CO95" s="437">
        <f t="shared" si="2"/>
        <v>0</v>
      </c>
      <c r="CP95" s="438">
        <f ca="1">ROUND(CO95*'1、课程目标与考核方式'!$H$13/100+IF(ISERROR(VLOOKUP(A95,'4、平时成绩'!$A$2:$H$201,8,FALSE)),0,VLOOKUP(A95,'4、平时成绩'!$A$2:$H$201,8,FALSE)),0)</f>
        <v>0</v>
      </c>
    </row>
    <row r="96" s="32" customFormat="1" spans="1:94">
      <c r="A96" s="440"/>
      <c r="B96" s="440"/>
      <c r="C96" s="441"/>
      <c r="D96" s="436"/>
      <c r="E96" s="436"/>
      <c r="F96" s="436"/>
      <c r="G96" s="436"/>
      <c r="H96" s="436"/>
      <c r="I96" s="436"/>
      <c r="J96" s="436"/>
      <c r="K96" s="436"/>
      <c r="L96" s="436"/>
      <c r="M96" s="436"/>
      <c r="N96" s="436"/>
      <c r="O96" s="436"/>
      <c r="P96" s="436"/>
      <c r="Q96" s="436"/>
      <c r="R96" s="436"/>
      <c r="S96" s="436"/>
      <c r="T96" s="436"/>
      <c r="U96" s="436"/>
      <c r="V96" s="436"/>
      <c r="W96" s="436"/>
      <c r="X96" s="436"/>
      <c r="Y96" s="436"/>
      <c r="Z96" s="436"/>
      <c r="AA96" s="436"/>
      <c r="AB96" s="436"/>
      <c r="AC96" s="436"/>
      <c r="AD96" s="436"/>
      <c r="AE96" s="436"/>
      <c r="AF96" s="436"/>
      <c r="AG96" s="436"/>
      <c r="AH96" s="436"/>
      <c r="AI96" s="436"/>
      <c r="AJ96" s="436"/>
      <c r="AK96" s="436"/>
      <c r="AL96" s="436"/>
      <c r="AM96" s="436"/>
      <c r="AN96" s="436"/>
      <c r="AO96" s="436"/>
      <c r="AP96" s="436"/>
      <c r="AQ96" s="436"/>
      <c r="AR96" s="436"/>
      <c r="AS96" s="436"/>
      <c r="AT96" s="436"/>
      <c r="AU96" s="436"/>
      <c r="AV96" s="436"/>
      <c r="AW96" s="436"/>
      <c r="AX96" s="436"/>
      <c r="AY96" s="436"/>
      <c r="AZ96" s="436"/>
      <c r="BA96" s="436"/>
      <c r="BB96" s="436"/>
      <c r="BC96" s="436"/>
      <c r="BD96" s="436"/>
      <c r="BE96" s="436"/>
      <c r="BF96" s="436"/>
      <c r="BG96" s="436"/>
      <c r="BH96" s="436"/>
      <c r="BI96" s="436"/>
      <c r="BJ96" s="436"/>
      <c r="BK96" s="436"/>
      <c r="BL96" s="436"/>
      <c r="BM96" s="436"/>
      <c r="BN96" s="436"/>
      <c r="BO96" s="436"/>
      <c r="BP96" s="436"/>
      <c r="BQ96" s="436"/>
      <c r="BR96" s="436"/>
      <c r="BS96" s="436"/>
      <c r="BT96" s="436"/>
      <c r="BU96" s="436"/>
      <c r="BV96" s="436"/>
      <c r="BW96" s="436"/>
      <c r="BX96" s="436"/>
      <c r="BY96" s="436"/>
      <c r="BZ96" s="436"/>
      <c r="CA96" s="436"/>
      <c r="CB96" s="436"/>
      <c r="CC96" s="436"/>
      <c r="CD96" s="436"/>
      <c r="CE96" s="437">
        <f>SUM(IF(COLUMN($C96:$CD96)&lt;(3+'2、试卷（期末）'!$B$2),$C96:$CD96,))</f>
        <v>0</v>
      </c>
      <c r="CF96" s="437">
        <f>SUM(IF(COLUMN($C96:$CD96)&lt;(3+SUM('2、试卷（期末）'!$B$2:$B$3)),$C96:$CD96,))-$CE96</f>
        <v>0</v>
      </c>
      <c r="CG96" s="437">
        <f>SUM(IF(COLUMN($C96:$CD96)&lt;(3+SUM('2、试卷（期末）'!$B$2:$B$4)),$C96:$CD96,))-SUM($CE96:$CF96)</f>
        <v>0</v>
      </c>
      <c r="CH96" s="437">
        <f>SUM(IF(COLUMN($C96:$CD96)&lt;(3+SUM('2、试卷（期末）'!$B$2:$B$5)),$C96:$CD96,))-SUM($CE96:$CG96)</f>
        <v>0</v>
      </c>
      <c r="CI96" s="437">
        <f>SUM(IF(COLUMN($C96:$CD96)&lt;(3+SUM('2、试卷（期末）'!$B$2:$B$6)),$C96:$CD96,))-SUM($CE96:$CH96)</f>
        <v>0</v>
      </c>
      <c r="CJ96" s="437">
        <f>SUM(IF(COLUMN($C96:$CD96)&lt;(3+SUM('2、试卷（期末）'!$B$2:$B$7)),$C96:$CD96,))-SUM($CE96:$CI96)</f>
        <v>0</v>
      </c>
      <c r="CK96" s="437">
        <f>SUM(IF(COLUMN($C96:$CD96)&lt;(3+SUM('2、试卷（期末）'!$B$2:$B$8)),$C96:$CD96,))-SUM($CE96:$CJ96)</f>
        <v>0</v>
      </c>
      <c r="CL96" s="437">
        <f>SUM(IF(COLUMN($C96:$CD96)&lt;(3+SUM('2、试卷（期末）'!$B$2:$B$9)),$C96:$CD96,))-SUM($CE96:$CK96)</f>
        <v>0</v>
      </c>
      <c r="CM96" s="437">
        <f>SUM(IF(COLUMN($C96:$CD96)&lt;(3+SUM('2、试卷（期末）'!$B$2:$B$10)),$C96:$CD96,))-SUM($CE96:$CL96)</f>
        <v>0</v>
      </c>
      <c r="CN96" s="437">
        <f>SUM(IF(COLUMN($C96:$CD96)&lt;(3+SUM('2、试卷（期末）'!$B$2:$B$11)),$C96:$CD96,))-SUM($CE96:$CM96)</f>
        <v>0</v>
      </c>
      <c r="CO96" s="437">
        <f t="shared" si="2"/>
        <v>0</v>
      </c>
      <c r="CP96" s="438">
        <f ca="1">ROUND(CO96*'1、课程目标与考核方式'!$H$13/100+IF(ISERROR(VLOOKUP(A96,'4、平时成绩'!$A$2:$H$201,8,FALSE)),0,VLOOKUP(A96,'4、平时成绩'!$A$2:$H$201,8,FALSE)),0)</f>
        <v>0</v>
      </c>
    </row>
    <row r="97" s="32" customFormat="1" spans="1:94">
      <c r="A97" s="440"/>
      <c r="B97" s="440"/>
      <c r="C97" s="441"/>
      <c r="D97" s="436"/>
      <c r="E97" s="436"/>
      <c r="F97" s="436"/>
      <c r="G97" s="436"/>
      <c r="H97" s="436"/>
      <c r="I97" s="436"/>
      <c r="J97" s="436"/>
      <c r="K97" s="436"/>
      <c r="L97" s="436"/>
      <c r="M97" s="436"/>
      <c r="N97" s="436"/>
      <c r="O97" s="436"/>
      <c r="P97" s="436"/>
      <c r="Q97" s="436"/>
      <c r="R97" s="436"/>
      <c r="S97" s="436"/>
      <c r="T97" s="436"/>
      <c r="U97" s="436"/>
      <c r="V97" s="436"/>
      <c r="W97" s="436"/>
      <c r="X97" s="436"/>
      <c r="Y97" s="436"/>
      <c r="Z97" s="436"/>
      <c r="AA97" s="436"/>
      <c r="AB97" s="436"/>
      <c r="AC97" s="436"/>
      <c r="AD97" s="436"/>
      <c r="AE97" s="436"/>
      <c r="AF97" s="436"/>
      <c r="AG97" s="436"/>
      <c r="AH97" s="436"/>
      <c r="AI97" s="436"/>
      <c r="AJ97" s="436"/>
      <c r="AK97" s="436"/>
      <c r="AL97" s="436"/>
      <c r="AM97" s="436"/>
      <c r="AN97" s="436"/>
      <c r="AO97" s="436"/>
      <c r="AP97" s="436"/>
      <c r="AQ97" s="436"/>
      <c r="AR97" s="436"/>
      <c r="AS97" s="436"/>
      <c r="AT97" s="436"/>
      <c r="AU97" s="436"/>
      <c r="AV97" s="436"/>
      <c r="AW97" s="436"/>
      <c r="AX97" s="436"/>
      <c r="AY97" s="436"/>
      <c r="AZ97" s="436"/>
      <c r="BA97" s="436"/>
      <c r="BB97" s="436"/>
      <c r="BC97" s="436"/>
      <c r="BD97" s="436"/>
      <c r="BE97" s="436"/>
      <c r="BF97" s="436"/>
      <c r="BG97" s="436"/>
      <c r="BH97" s="436"/>
      <c r="BI97" s="436"/>
      <c r="BJ97" s="436"/>
      <c r="BK97" s="436"/>
      <c r="BL97" s="436"/>
      <c r="BM97" s="436"/>
      <c r="BN97" s="436"/>
      <c r="BO97" s="436"/>
      <c r="BP97" s="436"/>
      <c r="BQ97" s="436"/>
      <c r="BR97" s="436"/>
      <c r="BS97" s="436"/>
      <c r="BT97" s="436"/>
      <c r="BU97" s="436"/>
      <c r="BV97" s="436"/>
      <c r="BW97" s="436"/>
      <c r="BX97" s="436"/>
      <c r="BY97" s="436"/>
      <c r="BZ97" s="436"/>
      <c r="CA97" s="436"/>
      <c r="CB97" s="436"/>
      <c r="CC97" s="436"/>
      <c r="CD97" s="436"/>
      <c r="CE97" s="437">
        <f>SUM(IF(COLUMN($C97:$CD97)&lt;(3+'2、试卷（期末）'!$B$2),$C97:$CD97,))</f>
        <v>0</v>
      </c>
      <c r="CF97" s="437">
        <f>SUM(IF(COLUMN($C97:$CD97)&lt;(3+SUM('2、试卷（期末）'!$B$2:$B$3)),$C97:$CD97,))-$CE97</f>
        <v>0</v>
      </c>
      <c r="CG97" s="437">
        <f>SUM(IF(COLUMN($C97:$CD97)&lt;(3+SUM('2、试卷（期末）'!$B$2:$B$4)),$C97:$CD97,))-SUM($CE97:$CF97)</f>
        <v>0</v>
      </c>
      <c r="CH97" s="437">
        <f>SUM(IF(COLUMN($C97:$CD97)&lt;(3+SUM('2、试卷（期末）'!$B$2:$B$5)),$C97:$CD97,))-SUM($CE97:$CG97)</f>
        <v>0</v>
      </c>
      <c r="CI97" s="437">
        <f>SUM(IF(COLUMN($C97:$CD97)&lt;(3+SUM('2、试卷（期末）'!$B$2:$B$6)),$C97:$CD97,))-SUM($CE97:$CH97)</f>
        <v>0</v>
      </c>
      <c r="CJ97" s="437">
        <f>SUM(IF(COLUMN($C97:$CD97)&lt;(3+SUM('2、试卷（期末）'!$B$2:$B$7)),$C97:$CD97,))-SUM($CE97:$CI97)</f>
        <v>0</v>
      </c>
      <c r="CK97" s="437">
        <f>SUM(IF(COLUMN($C97:$CD97)&lt;(3+SUM('2、试卷（期末）'!$B$2:$B$8)),$C97:$CD97,))-SUM($CE97:$CJ97)</f>
        <v>0</v>
      </c>
      <c r="CL97" s="437">
        <f>SUM(IF(COLUMN($C97:$CD97)&lt;(3+SUM('2、试卷（期末）'!$B$2:$B$9)),$C97:$CD97,))-SUM($CE97:$CK97)</f>
        <v>0</v>
      </c>
      <c r="CM97" s="437">
        <f>SUM(IF(COLUMN($C97:$CD97)&lt;(3+SUM('2、试卷（期末）'!$B$2:$B$10)),$C97:$CD97,))-SUM($CE97:$CL97)</f>
        <v>0</v>
      </c>
      <c r="CN97" s="437">
        <f>SUM(IF(COLUMN($C97:$CD97)&lt;(3+SUM('2、试卷（期末）'!$B$2:$B$11)),$C97:$CD97,))-SUM($CE97:$CM97)</f>
        <v>0</v>
      </c>
      <c r="CO97" s="437">
        <f t="shared" si="2"/>
        <v>0</v>
      </c>
      <c r="CP97" s="438">
        <f ca="1">ROUND(CO97*'1、课程目标与考核方式'!$H$13/100+IF(ISERROR(VLOOKUP(A97,'4、平时成绩'!$A$2:$H$201,8,FALSE)),0,VLOOKUP(A97,'4、平时成绩'!$A$2:$H$201,8,FALSE)),0)</f>
        <v>0</v>
      </c>
    </row>
    <row r="98" s="32" customFormat="1" spans="1:94">
      <c r="A98" s="440"/>
      <c r="B98" s="440"/>
      <c r="C98" s="441"/>
      <c r="D98" s="436"/>
      <c r="E98" s="436"/>
      <c r="F98" s="436"/>
      <c r="G98" s="436"/>
      <c r="H98" s="436"/>
      <c r="I98" s="436"/>
      <c r="J98" s="436"/>
      <c r="K98" s="436"/>
      <c r="L98" s="436"/>
      <c r="M98" s="436"/>
      <c r="N98" s="436"/>
      <c r="O98" s="436"/>
      <c r="P98" s="436"/>
      <c r="Q98" s="436"/>
      <c r="R98" s="436"/>
      <c r="S98" s="436"/>
      <c r="T98" s="436"/>
      <c r="U98" s="436"/>
      <c r="V98" s="436"/>
      <c r="W98" s="436"/>
      <c r="X98" s="436"/>
      <c r="Y98" s="436"/>
      <c r="Z98" s="436"/>
      <c r="AA98" s="436"/>
      <c r="AB98" s="436"/>
      <c r="AC98" s="436"/>
      <c r="AD98" s="436"/>
      <c r="AE98" s="436"/>
      <c r="AF98" s="436"/>
      <c r="AG98" s="436"/>
      <c r="AH98" s="436"/>
      <c r="AI98" s="436"/>
      <c r="AJ98" s="436"/>
      <c r="AK98" s="436"/>
      <c r="AL98" s="436"/>
      <c r="AM98" s="436"/>
      <c r="AN98" s="436"/>
      <c r="AO98" s="436"/>
      <c r="AP98" s="436"/>
      <c r="AQ98" s="436"/>
      <c r="AR98" s="436"/>
      <c r="AS98" s="436"/>
      <c r="AT98" s="436"/>
      <c r="AU98" s="436"/>
      <c r="AV98" s="436"/>
      <c r="AW98" s="436"/>
      <c r="AX98" s="436"/>
      <c r="AY98" s="436"/>
      <c r="AZ98" s="436"/>
      <c r="BA98" s="436"/>
      <c r="BB98" s="436"/>
      <c r="BC98" s="436"/>
      <c r="BD98" s="436"/>
      <c r="BE98" s="436"/>
      <c r="BF98" s="436"/>
      <c r="BG98" s="436"/>
      <c r="BH98" s="436"/>
      <c r="BI98" s="436"/>
      <c r="BJ98" s="436"/>
      <c r="BK98" s="436"/>
      <c r="BL98" s="436"/>
      <c r="BM98" s="436"/>
      <c r="BN98" s="436"/>
      <c r="BO98" s="436"/>
      <c r="BP98" s="436"/>
      <c r="BQ98" s="436"/>
      <c r="BR98" s="436"/>
      <c r="BS98" s="436"/>
      <c r="BT98" s="436"/>
      <c r="BU98" s="436"/>
      <c r="BV98" s="436"/>
      <c r="BW98" s="436"/>
      <c r="BX98" s="436"/>
      <c r="BY98" s="436"/>
      <c r="BZ98" s="436"/>
      <c r="CA98" s="436"/>
      <c r="CB98" s="436"/>
      <c r="CC98" s="436"/>
      <c r="CD98" s="436"/>
      <c r="CE98" s="437">
        <f>SUM(IF(COLUMN($C98:$CD98)&lt;(3+'2、试卷（期末）'!$B$2),$C98:$CD98,))</f>
        <v>0</v>
      </c>
      <c r="CF98" s="437">
        <f>SUM(IF(COLUMN($C98:$CD98)&lt;(3+SUM('2、试卷（期末）'!$B$2:$B$3)),$C98:$CD98,))-$CE98</f>
        <v>0</v>
      </c>
      <c r="CG98" s="437">
        <f>SUM(IF(COLUMN($C98:$CD98)&lt;(3+SUM('2、试卷（期末）'!$B$2:$B$4)),$C98:$CD98,))-SUM($CE98:$CF98)</f>
        <v>0</v>
      </c>
      <c r="CH98" s="437">
        <f>SUM(IF(COLUMN($C98:$CD98)&lt;(3+SUM('2、试卷（期末）'!$B$2:$B$5)),$C98:$CD98,))-SUM($CE98:$CG98)</f>
        <v>0</v>
      </c>
      <c r="CI98" s="437">
        <f>SUM(IF(COLUMN($C98:$CD98)&lt;(3+SUM('2、试卷（期末）'!$B$2:$B$6)),$C98:$CD98,))-SUM($CE98:$CH98)</f>
        <v>0</v>
      </c>
      <c r="CJ98" s="437">
        <f>SUM(IF(COLUMN($C98:$CD98)&lt;(3+SUM('2、试卷（期末）'!$B$2:$B$7)),$C98:$CD98,))-SUM($CE98:$CI98)</f>
        <v>0</v>
      </c>
      <c r="CK98" s="437">
        <f>SUM(IF(COLUMN($C98:$CD98)&lt;(3+SUM('2、试卷（期末）'!$B$2:$B$8)),$C98:$CD98,))-SUM($CE98:$CJ98)</f>
        <v>0</v>
      </c>
      <c r="CL98" s="437">
        <f>SUM(IF(COLUMN($C98:$CD98)&lt;(3+SUM('2、试卷（期末）'!$B$2:$B$9)),$C98:$CD98,))-SUM($CE98:$CK98)</f>
        <v>0</v>
      </c>
      <c r="CM98" s="437">
        <f>SUM(IF(COLUMN($C98:$CD98)&lt;(3+SUM('2、试卷（期末）'!$B$2:$B$10)),$C98:$CD98,))-SUM($CE98:$CL98)</f>
        <v>0</v>
      </c>
      <c r="CN98" s="437">
        <f>SUM(IF(COLUMN($C98:$CD98)&lt;(3+SUM('2、试卷（期末）'!$B$2:$B$11)),$C98:$CD98,))-SUM($CE98:$CM98)</f>
        <v>0</v>
      </c>
      <c r="CO98" s="437">
        <f t="shared" si="2"/>
        <v>0</v>
      </c>
      <c r="CP98" s="438">
        <f ca="1">ROUND(CO98*'1、课程目标与考核方式'!$H$13/100+IF(ISERROR(VLOOKUP(A98,'4、平时成绩'!$A$2:$H$201,8,FALSE)),0,VLOOKUP(A98,'4、平时成绩'!$A$2:$H$201,8,FALSE)),0)</f>
        <v>0</v>
      </c>
    </row>
    <row r="99" s="32" customFormat="1" spans="1:94">
      <c r="A99" s="440"/>
      <c r="B99" s="440"/>
      <c r="C99" s="441"/>
      <c r="D99" s="436"/>
      <c r="E99" s="436"/>
      <c r="F99" s="436"/>
      <c r="G99" s="436"/>
      <c r="H99" s="436"/>
      <c r="I99" s="436"/>
      <c r="J99" s="436"/>
      <c r="K99" s="436"/>
      <c r="L99" s="436"/>
      <c r="M99" s="436"/>
      <c r="N99" s="436"/>
      <c r="O99" s="436"/>
      <c r="P99" s="436"/>
      <c r="Q99" s="436"/>
      <c r="R99" s="436"/>
      <c r="S99" s="436"/>
      <c r="T99" s="436"/>
      <c r="U99" s="436"/>
      <c r="V99" s="436"/>
      <c r="W99" s="436"/>
      <c r="X99" s="436"/>
      <c r="Y99" s="436"/>
      <c r="Z99" s="436"/>
      <c r="AA99" s="436"/>
      <c r="AB99" s="436"/>
      <c r="AC99" s="436"/>
      <c r="AD99" s="436"/>
      <c r="AE99" s="436"/>
      <c r="AF99" s="436"/>
      <c r="AG99" s="436"/>
      <c r="AH99" s="436"/>
      <c r="AI99" s="436"/>
      <c r="AJ99" s="436"/>
      <c r="AK99" s="436"/>
      <c r="AL99" s="436"/>
      <c r="AM99" s="436"/>
      <c r="AN99" s="436"/>
      <c r="AO99" s="436"/>
      <c r="AP99" s="436"/>
      <c r="AQ99" s="436"/>
      <c r="AR99" s="436"/>
      <c r="AS99" s="436"/>
      <c r="AT99" s="436"/>
      <c r="AU99" s="436"/>
      <c r="AV99" s="436"/>
      <c r="AW99" s="436"/>
      <c r="AX99" s="436"/>
      <c r="AY99" s="436"/>
      <c r="AZ99" s="436"/>
      <c r="BA99" s="436"/>
      <c r="BB99" s="436"/>
      <c r="BC99" s="436"/>
      <c r="BD99" s="436"/>
      <c r="BE99" s="436"/>
      <c r="BF99" s="436"/>
      <c r="BG99" s="436"/>
      <c r="BH99" s="436"/>
      <c r="BI99" s="436"/>
      <c r="BJ99" s="436"/>
      <c r="BK99" s="436"/>
      <c r="BL99" s="436"/>
      <c r="BM99" s="436"/>
      <c r="BN99" s="436"/>
      <c r="BO99" s="436"/>
      <c r="BP99" s="436"/>
      <c r="BQ99" s="436"/>
      <c r="BR99" s="436"/>
      <c r="BS99" s="436"/>
      <c r="BT99" s="436"/>
      <c r="BU99" s="436"/>
      <c r="BV99" s="436"/>
      <c r="BW99" s="436"/>
      <c r="BX99" s="436"/>
      <c r="BY99" s="436"/>
      <c r="BZ99" s="436"/>
      <c r="CA99" s="436"/>
      <c r="CB99" s="436"/>
      <c r="CC99" s="436"/>
      <c r="CD99" s="436"/>
      <c r="CE99" s="437">
        <f>SUM(IF(COLUMN($C99:$CD99)&lt;(3+'2、试卷（期末）'!$B$2),$C99:$CD99,))</f>
        <v>0</v>
      </c>
      <c r="CF99" s="437">
        <f>SUM(IF(COLUMN($C99:$CD99)&lt;(3+SUM('2、试卷（期末）'!$B$2:$B$3)),$C99:$CD99,))-$CE99</f>
        <v>0</v>
      </c>
      <c r="CG99" s="437">
        <f>SUM(IF(COLUMN($C99:$CD99)&lt;(3+SUM('2、试卷（期末）'!$B$2:$B$4)),$C99:$CD99,))-SUM($CE99:$CF99)</f>
        <v>0</v>
      </c>
      <c r="CH99" s="437">
        <f>SUM(IF(COLUMN($C99:$CD99)&lt;(3+SUM('2、试卷（期末）'!$B$2:$B$5)),$C99:$CD99,))-SUM($CE99:$CG99)</f>
        <v>0</v>
      </c>
      <c r="CI99" s="437">
        <f>SUM(IF(COLUMN($C99:$CD99)&lt;(3+SUM('2、试卷（期末）'!$B$2:$B$6)),$C99:$CD99,))-SUM($CE99:$CH99)</f>
        <v>0</v>
      </c>
      <c r="CJ99" s="437">
        <f>SUM(IF(COLUMN($C99:$CD99)&lt;(3+SUM('2、试卷（期末）'!$B$2:$B$7)),$C99:$CD99,))-SUM($CE99:$CI99)</f>
        <v>0</v>
      </c>
      <c r="CK99" s="437">
        <f>SUM(IF(COLUMN($C99:$CD99)&lt;(3+SUM('2、试卷（期末）'!$B$2:$B$8)),$C99:$CD99,))-SUM($CE99:$CJ99)</f>
        <v>0</v>
      </c>
      <c r="CL99" s="437">
        <f>SUM(IF(COLUMN($C99:$CD99)&lt;(3+SUM('2、试卷（期末）'!$B$2:$B$9)),$C99:$CD99,))-SUM($CE99:$CK99)</f>
        <v>0</v>
      </c>
      <c r="CM99" s="437">
        <f>SUM(IF(COLUMN($C99:$CD99)&lt;(3+SUM('2、试卷（期末）'!$B$2:$B$10)),$C99:$CD99,))-SUM($CE99:$CL99)</f>
        <v>0</v>
      </c>
      <c r="CN99" s="437">
        <f>SUM(IF(COLUMN($C99:$CD99)&lt;(3+SUM('2、试卷（期末）'!$B$2:$B$11)),$C99:$CD99,))-SUM($CE99:$CM99)</f>
        <v>0</v>
      </c>
      <c r="CO99" s="437">
        <f t="shared" ref="CO99:CO130" si="3">SUM(C99:CD99)</f>
        <v>0</v>
      </c>
      <c r="CP99" s="438">
        <f ca="1">ROUND(CO99*'1、课程目标与考核方式'!$H$13/100+IF(ISERROR(VLOOKUP(A99,'4、平时成绩'!$A$2:$H$201,8,FALSE)),0,VLOOKUP(A99,'4、平时成绩'!$A$2:$H$201,8,FALSE)),0)</f>
        <v>0</v>
      </c>
    </row>
    <row r="100" s="32" customFormat="1" spans="1:94">
      <c r="A100" s="440"/>
      <c r="B100" s="440"/>
      <c r="C100" s="441"/>
      <c r="D100" s="436"/>
      <c r="E100" s="436"/>
      <c r="F100" s="436"/>
      <c r="G100" s="436"/>
      <c r="H100" s="436"/>
      <c r="I100" s="436"/>
      <c r="J100" s="436"/>
      <c r="K100" s="436"/>
      <c r="L100" s="436"/>
      <c r="M100" s="436"/>
      <c r="N100" s="436"/>
      <c r="O100" s="436"/>
      <c r="P100" s="436"/>
      <c r="Q100" s="436"/>
      <c r="R100" s="436"/>
      <c r="S100" s="436"/>
      <c r="T100" s="436"/>
      <c r="U100" s="436"/>
      <c r="V100" s="436"/>
      <c r="W100" s="436"/>
      <c r="X100" s="436"/>
      <c r="Y100" s="436"/>
      <c r="Z100" s="436"/>
      <c r="AA100" s="436"/>
      <c r="AB100" s="436"/>
      <c r="AC100" s="436"/>
      <c r="AD100" s="436"/>
      <c r="AE100" s="436"/>
      <c r="AF100" s="436"/>
      <c r="AG100" s="436"/>
      <c r="AH100" s="436"/>
      <c r="AI100" s="436"/>
      <c r="AJ100" s="436"/>
      <c r="AK100" s="436"/>
      <c r="AL100" s="436"/>
      <c r="AM100" s="436"/>
      <c r="AN100" s="436"/>
      <c r="AO100" s="436"/>
      <c r="AP100" s="436"/>
      <c r="AQ100" s="436"/>
      <c r="AR100" s="436"/>
      <c r="AS100" s="436"/>
      <c r="AT100" s="436"/>
      <c r="AU100" s="436"/>
      <c r="AV100" s="436"/>
      <c r="AW100" s="436"/>
      <c r="AX100" s="436"/>
      <c r="AY100" s="436"/>
      <c r="AZ100" s="436"/>
      <c r="BA100" s="436"/>
      <c r="BB100" s="436"/>
      <c r="BC100" s="436"/>
      <c r="BD100" s="436"/>
      <c r="BE100" s="436"/>
      <c r="BF100" s="436"/>
      <c r="BG100" s="436"/>
      <c r="BH100" s="436"/>
      <c r="BI100" s="436"/>
      <c r="BJ100" s="436"/>
      <c r="BK100" s="436"/>
      <c r="BL100" s="436"/>
      <c r="BM100" s="436"/>
      <c r="BN100" s="436"/>
      <c r="BO100" s="436"/>
      <c r="BP100" s="436"/>
      <c r="BQ100" s="436"/>
      <c r="BR100" s="436"/>
      <c r="BS100" s="436"/>
      <c r="BT100" s="436"/>
      <c r="BU100" s="436"/>
      <c r="BV100" s="436"/>
      <c r="BW100" s="436"/>
      <c r="BX100" s="436"/>
      <c r="BY100" s="436"/>
      <c r="BZ100" s="436"/>
      <c r="CA100" s="436"/>
      <c r="CB100" s="436"/>
      <c r="CC100" s="436"/>
      <c r="CD100" s="436"/>
      <c r="CE100" s="437">
        <f>SUM(IF(COLUMN($C100:$CD100)&lt;(3+'2、试卷（期末）'!$B$2),$C100:$CD100,))</f>
        <v>0</v>
      </c>
      <c r="CF100" s="437">
        <f>SUM(IF(COLUMN($C100:$CD100)&lt;(3+SUM('2、试卷（期末）'!$B$2:$B$3)),$C100:$CD100,))-$CE100</f>
        <v>0</v>
      </c>
      <c r="CG100" s="437">
        <f>SUM(IF(COLUMN($C100:$CD100)&lt;(3+SUM('2、试卷（期末）'!$B$2:$B$4)),$C100:$CD100,))-SUM($CE100:$CF100)</f>
        <v>0</v>
      </c>
      <c r="CH100" s="437">
        <f>SUM(IF(COLUMN($C100:$CD100)&lt;(3+SUM('2、试卷（期末）'!$B$2:$B$5)),$C100:$CD100,))-SUM($CE100:$CG100)</f>
        <v>0</v>
      </c>
      <c r="CI100" s="437">
        <f>SUM(IF(COLUMN($C100:$CD100)&lt;(3+SUM('2、试卷（期末）'!$B$2:$B$6)),$C100:$CD100,))-SUM($CE100:$CH100)</f>
        <v>0</v>
      </c>
      <c r="CJ100" s="437">
        <f>SUM(IF(COLUMN($C100:$CD100)&lt;(3+SUM('2、试卷（期末）'!$B$2:$B$7)),$C100:$CD100,))-SUM($CE100:$CI100)</f>
        <v>0</v>
      </c>
      <c r="CK100" s="437">
        <f>SUM(IF(COLUMN($C100:$CD100)&lt;(3+SUM('2、试卷（期末）'!$B$2:$B$8)),$C100:$CD100,))-SUM($CE100:$CJ100)</f>
        <v>0</v>
      </c>
      <c r="CL100" s="437">
        <f>SUM(IF(COLUMN($C100:$CD100)&lt;(3+SUM('2、试卷（期末）'!$B$2:$B$9)),$C100:$CD100,))-SUM($CE100:$CK100)</f>
        <v>0</v>
      </c>
      <c r="CM100" s="437">
        <f>SUM(IF(COLUMN($C100:$CD100)&lt;(3+SUM('2、试卷（期末）'!$B$2:$B$10)),$C100:$CD100,))-SUM($CE100:$CL100)</f>
        <v>0</v>
      </c>
      <c r="CN100" s="437">
        <f>SUM(IF(COLUMN($C100:$CD100)&lt;(3+SUM('2、试卷（期末）'!$B$2:$B$11)),$C100:$CD100,))-SUM($CE100:$CM100)</f>
        <v>0</v>
      </c>
      <c r="CO100" s="437">
        <f t="shared" si="3"/>
        <v>0</v>
      </c>
      <c r="CP100" s="438">
        <f ca="1">ROUND(CO100*'1、课程目标与考核方式'!$H$13/100+IF(ISERROR(VLOOKUP(A100,'4、平时成绩'!$A$2:$H$201,8,FALSE)),0,VLOOKUP(A100,'4、平时成绩'!$A$2:$H$201,8,FALSE)),0)</f>
        <v>0</v>
      </c>
    </row>
    <row r="101" s="32" customFormat="1" spans="1:94">
      <c r="A101" s="440"/>
      <c r="B101" s="440"/>
      <c r="C101" s="441"/>
      <c r="D101" s="436"/>
      <c r="E101" s="436"/>
      <c r="F101" s="436"/>
      <c r="G101" s="436"/>
      <c r="H101" s="436"/>
      <c r="I101" s="436"/>
      <c r="J101" s="436"/>
      <c r="K101" s="436"/>
      <c r="L101" s="436"/>
      <c r="M101" s="436"/>
      <c r="N101" s="436"/>
      <c r="O101" s="436"/>
      <c r="P101" s="436"/>
      <c r="Q101" s="436"/>
      <c r="R101" s="436"/>
      <c r="S101" s="436"/>
      <c r="T101" s="436"/>
      <c r="U101" s="436"/>
      <c r="V101" s="436"/>
      <c r="W101" s="436"/>
      <c r="X101" s="436"/>
      <c r="Y101" s="436"/>
      <c r="Z101" s="436"/>
      <c r="AA101" s="436"/>
      <c r="AB101" s="436"/>
      <c r="AC101" s="436"/>
      <c r="AD101" s="436"/>
      <c r="AE101" s="436"/>
      <c r="AF101" s="436"/>
      <c r="AG101" s="436"/>
      <c r="AH101" s="436"/>
      <c r="AI101" s="436"/>
      <c r="AJ101" s="436"/>
      <c r="AK101" s="436"/>
      <c r="AL101" s="436"/>
      <c r="AM101" s="436"/>
      <c r="AN101" s="436"/>
      <c r="AO101" s="436"/>
      <c r="AP101" s="436"/>
      <c r="AQ101" s="436"/>
      <c r="AR101" s="436"/>
      <c r="AS101" s="436"/>
      <c r="AT101" s="436"/>
      <c r="AU101" s="436"/>
      <c r="AV101" s="436"/>
      <c r="AW101" s="436"/>
      <c r="AX101" s="436"/>
      <c r="AY101" s="436"/>
      <c r="AZ101" s="436"/>
      <c r="BA101" s="436"/>
      <c r="BB101" s="436"/>
      <c r="BC101" s="436"/>
      <c r="BD101" s="436"/>
      <c r="BE101" s="436"/>
      <c r="BF101" s="436"/>
      <c r="BG101" s="436"/>
      <c r="BH101" s="436"/>
      <c r="BI101" s="436"/>
      <c r="BJ101" s="436"/>
      <c r="BK101" s="436"/>
      <c r="BL101" s="436"/>
      <c r="BM101" s="436"/>
      <c r="BN101" s="436"/>
      <c r="BO101" s="436"/>
      <c r="BP101" s="436"/>
      <c r="BQ101" s="436"/>
      <c r="BR101" s="436"/>
      <c r="BS101" s="436"/>
      <c r="BT101" s="436"/>
      <c r="BU101" s="436"/>
      <c r="BV101" s="436"/>
      <c r="BW101" s="436"/>
      <c r="BX101" s="436"/>
      <c r="BY101" s="436"/>
      <c r="BZ101" s="436"/>
      <c r="CA101" s="436"/>
      <c r="CB101" s="436"/>
      <c r="CC101" s="436"/>
      <c r="CD101" s="436"/>
      <c r="CE101" s="437">
        <f>SUM(IF(COLUMN($C101:$CD101)&lt;(3+'2、试卷（期末）'!$B$2),$C101:$CD101,))</f>
        <v>0</v>
      </c>
      <c r="CF101" s="437">
        <f>SUM(IF(COLUMN($C101:$CD101)&lt;(3+SUM('2、试卷（期末）'!$B$2:$B$3)),$C101:$CD101,))-$CE101</f>
        <v>0</v>
      </c>
      <c r="CG101" s="437">
        <f>SUM(IF(COLUMN($C101:$CD101)&lt;(3+SUM('2、试卷（期末）'!$B$2:$B$4)),$C101:$CD101,))-SUM($CE101:$CF101)</f>
        <v>0</v>
      </c>
      <c r="CH101" s="437">
        <f>SUM(IF(COLUMN($C101:$CD101)&lt;(3+SUM('2、试卷（期末）'!$B$2:$B$5)),$C101:$CD101,))-SUM($CE101:$CG101)</f>
        <v>0</v>
      </c>
      <c r="CI101" s="437">
        <f>SUM(IF(COLUMN($C101:$CD101)&lt;(3+SUM('2、试卷（期末）'!$B$2:$B$6)),$C101:$CD101,))-SUM($CE101:$CH101)</f>
        <v>0</v>
      </c>
      <c r="CJ101" s="437">
        <f>SUM(IF(COLUMN($C101:$CD101)&lt;(3+SUM('2、试卷（期末）'!$B$2:$B$7)),$C101:$CD101,))-SUM($CE101:$CI101)</f>
        <v>0</v>
      </c>
      <c r="CK101" s="437">
        <f>SUM(IF(COLUMN($C101:$CD101)&lt;(3+SUM('2、试卷（期末）'!$B$2:$B$8)),$C101:$CD101,))-SUM($CE101:$CJ101)</f>
        <v>0</v>
      </c>
      <c r="CL101" s="437">
        <f>SUM(IF(COLUMN($C101:$CD101)&lt;(3+SUM('2、试卷（期末）'!$B$2:$B$9)),$C101:$CD101,))-SUM($CE101:$CK101)</f>
        <v>0</v>
      </c>
      <c r="CM101" s="437">
        <f>SUM(IF(COLUMN($C101:$CD101)&lt;(3+SUM('2、试卷（期末）'!$B$2:$B$10)),$C101:$CD101,))-SUM($CE101:$CL101)</f>
        <v>0</v>
      </c>
      <c r="CN101" s="437">
        <f>SUM(IF(COLUMN($C101:$CD101)&lt;(3+SUM('2、试卷（期末）'!$B$2:$B$11)),$C101:$CD101,))-SUM($CE101:$CM101)</f>
        <v>0</v>
      </c>
      <c r="CO101" s="437">
        <f t="shared" si="3"/>
        <v>0</v>
      </c>
      <c r="CP101" s="438">
        <f ca="1">ROUND(CO101*'1、课程目标与考核方式'!$H$13/100+IF(ISERROR(VLOOKUP(A101,'4、平时成绩'!$A$2:$H$201,8,FALSE)),0,VLOOKUP(A101,'4、平时成绩'!$A$2:$H$201,8,FALSE)),0)</f>
        <v>0</v>
      </c>
    </row>
    <row r="102" s="32" customFormat="1" spans="1:94">
      <c r="A102" s="440"/>
      <c r="B102" s="440"/>
      <c r="C102" s="441"/>
      <c r="D102" s="436"/>
      <c r="E102" s="436"/>
      <c r="F102" s="436"/>
      <c r="G102" s="436"/>
      <c r="H102" s="436"/>
      <c r="I102" s="436"/>
      <c r="J102" s="436"/>
      <c r="K102" s="436"/>
      <c r="L102" s="436"/>
      <c r="M102" s="436"/>
      <c r="N102" s="436"/>
      <c r="O102" s="436"/>
      <c r="P102" s="436"/>
      <c r="Q102" s="436"/>
      <c r="R102" s="436"/>
      <c r="S102" s="436"/>
      <c r="T102" s="436"/>
      <c r="U102" s="436"/>
      <c r="V102" s="436"/>
      <c r="W102" s="436"/>
      <c r="X102" s="436"/>
      <c r="Y102" s="436"/>
      <c r="Z102" s="436"/>
      <c r="AA102" s="436"/>
      <c r="AB102" s="436"/>
      <c r="AC102" s="436"/>
      <c r="AD102" s="436"/>
      <c r="AE102" s="436"/>
      <c r="AF102" s="436"/>
      <c r="AG102" s="436"/>
      <c r="AH102" s="436"/>
      <c r="AI102" s="436"/>
      <c r="AJ102" s="436"/>
      <c r="AK102" s="436"/>
      <c r="AL102" s="436"/>
      <c r="AM102" s="436"/>
      <c r="AN102" s="436"/>
      <c r="AO102" s="436"/>
      <c r="AP102" s="436"/>
      <c r="AQ102" s="436"/>
      <c r="AR102" s="436"/>
      <c r="AS102" s="436"/>
      <c r="AT102" s="436"/>
      <c r="AU102" s="436"/>
      <c r="AV102" s="436"/>
      <c r="AW102" s="436"/>
      <c r="AX102" s="436"/>
      <c r="AY102" s="436"/>
      <c r="AZ102" s="436"/>
      <c r="BA102" s="436"/>
      <c r="BB102" s="436"/>
      <c r="BC102" s="436"/>
      <c r="BD102" s="436"/>
      <c r="BE102" s="436"/>
      <c r="BF102" s="436"/>
      <c r="BG102" s="436"/>
      <c r="BH102" s="436"/>
      <c r="BI102" s="436"/>
      <c r="BJ102" s="436"/>
      <c r="BK102" s="436"/>
      <c r="BL102" s="436"/>
      <c r="BM102" s="436"/>
      <c r="BN102" s="436"/>
      <c r="BO102" s="436"/>
      <c r="BP102" s="436"/>
      <c r="BQ102" s="436"/>
      <c r="BR102" s="436"/>
      <c r="BS102" s="436"/>
      <c r="BT102" s="436"/>
      <c r="BU102" s="436"/>
      <c r="BV102" s="436"/>
      <c r="BW102" s="436"/>
      <c r="BX102" s="436"/>
      <c r="BY102" s="436"/>
      <c r="BZ102" s="436"/>
      <c r="CA102" s="436"/>
      <c r="CB102" s="436"/>
      <c r="CC102" s="436"/>
      <c r="CD102" s="436"/>
      <c r="CE102" s="437">
        <f>SUM(IF(COLUMN($C102:$CD102)&lt;(3+'2、试卷（期末）'!$B$2),$C102:$CD102,))</f>
        <v>0</v>
      </c>
      <c r="CF102" s="437">
        <f>SUM(IF(COLUMN($C102:$CD102)&lt;(3+SUM('2、试卷（期末）'!$B$2:$B$3)),$C102:$CD102,))-$CE102</f>
        <v>0</v>
      </c>
      <c r="CG102" s="437">
        <f>SUM(IF(COLUMN($C102:$CD102)&lt;(3+SUM('2、试卷（期末）'!$B$2:$B$4)),$C102:$CD102,))-SUM($CE102:$CF102)</f>
        <v>0</v>
      </c>
      <c r="CH102" s="437">
        <f>SUM(IF(COLUMN($C102:$CD102)&lt;(3+SUM('2、试卷（期末）'!$B$2:$B$5)),$C102:$CD102,))-SUM($CE102:$CG102)</f>
        <v>0</v>
      </c>
      <c r="CI102" s="437">
        <f>SUM(IF(COLUMN($C102:$CD102)&lt;(3+SUM('2、试卷（期末）'!$B$2:$B$6)),$C102:$CD102,))-SUM($CE102:$CH102)</f>
        <v>0</v>
      </c>
      <c r="CJ102" s="437">
        <f>SUM(IF(COLUMN($C102:$CD102)&lt;(3+SUM('2、试卷（期末）'!$B$2:$B$7)),$C102:$CD102,))-SUM($CE102:$CI102)</f>
        <v>0</v>
      </c>
      <c r="CK102" s="437">
        <f>SUM(IF(COLUMN($C102:$CD102)&lt;(3+SUM('2、试卷（期末）'!$B$2:$B$8)),$C102:$CD102,))-SUM($CE102:$CJ102)</f>
        <v>0</v>
      </c>
      <c r="CL102" s="437">
        <f>SUM(IF(COLUMN($C102:$CD102)&lt;(3+SUM('2、试卷（期末）'!$B$2:$B$9)),$C102:$CD102,))-SUM($CE102:$CK102)</f>
        <v>0</v>
      </c>
      <c r="CM102" s="437">
        <f>SUM(IF(COLUMN($C102:$CD102)&lt;(3+SUM('2、试卷（期末）'!$B$2:$B$10)),$C102:$CD102,))-SUM($CE102:$CL102)</f>
        <v>0</v>
      </c>
      <c r="CN102" s="437">
        <f>SUM(IF(COLUMN($C102:$CD102)&lt;(3+SUM('2、试卷（期末）'!$B$2:$B$11)),$C102:$CD102,))-SUM($CE102:$CM102)</f>
        <v>0</v>
      </c>
      <c r="CO102" s="437">
        <f t="shared" si="3"/>
        <v>0</v>
      </c>
      <c r="CP102" s="438">
        <f ca="1">ROUND(CO102*'1、课程目标与考核方式'!$H$13/100+IF(ISERROR(VLOOKUP(A102,'4、平时成绩'!$A$2:$H$201,8,FALSE)),0,VLOOKUP(A102,'4、平时成绩'!$A$2:$H$201,8,FALSE)),0)</f>
        <v>0</v>
      </c>
    </row>
    <row r="103" s="32" customFormat="1" spans="1:94">
      <c r="A103" s="440"/>
      <c r="B103" s="440"/>
      <c r="C103" s="441"/>
      <c r="D103" s="436"/>
      <c r="E103" s="436"/>
      <c r="F103" s="436"/>
      <c r="G103" s="436"/>
      <c r="H103" s="436"/>
      <c r="I103" s="436"/>
      <c r="J103" s="436"/>
      <c r="K103" s="436"/>
      <c r="L103" s="436"/>
      <c r="M103" s="436"/>
      <c r="N103" s="436"/>
      <c r="O103" s="436"/>
      <c r="P103" s="436"/>
      <c r="Q103" s="436"/>
      <c r="R103" s="436"/>
      <c r="S103" s="436"/>
      <c r="T103" s="436"/>
      <c r="U103" s="436"/>
      <c r="V103" s="436"/>
      <c r="W103" s="436"/>
      <c r="X103" s="436"/>
      <c r="Y103" s="436"/>
      <c r="Z103" s="436"/>
      <c r="AA103" s="436"/>
      <c r="AB103" s="436"/>
      <c r="AC103" s="436"/>
      <c r="AD103" s="436"/>
      <c r="AE103" s="436"/>
      <c r="AF103" s="436"/>
      <c r="AG103" s="436"/>
      <c r="AH103" s="436"/>
      <c r="AI103" s="436"/>
      <c r="AJ103" s="436"/>
      <c r="AK103" s="436"/>
      <c r="AL103" s="436"/>
      <c r="AM103" s="436"/>
      <c r="AN103" s="436"/>
      <c r="AO103" s="436"/>
      <c r="AP103" s="436"/>
      <c r="AQ103" s="436"/>
      <c r="AR103" s="436"/>
      <c r="AS103" s="436"/>
      <c r="AT103" s="436"/>
      <c r="AU103" s="436"/>
      <c r="AV103" s="436"/>
      <c r="AW103" s="436"/>
      <c r="AX103" s="436"/>
      <c r="AY103" s="436"/>
      <c r="AZ103" s="436"/>
      <c r="BA103" s="436"/>
      <c r="BB103" s="436"/>
      <c r="BC103" s="436"/>
      <c r="BD103" s="436"/>
      <c r="BE103" s="436"/>
      <c r="BF103" s="436"/>
      <c r="BG103" s="436"/>
      <c r="BH103" s="436"/>
      <c r="BI103" s="436"/>
      <c r="BJ103" s="436"/>
      <c r="BK103" s="436"/>
      <c r="BL103" s="436"/>
      <c r="BM103" s="436"/>
      <c r="BN103" s="436"/>
      <c r="BO103" s="436"/>
      <c r="BP103" s="436"/>
      <c r="BQ103" s="436"/>
      <c r="BR103" s="436"/>
      <c r="BS103" s="436"/>
      <c r="BT103" s="436"/>
      <c r="BU103" s="436"/>
      <c r="BV103" s="436"/>
      <c r="BW103" s="436"/>
      <c r="BX103" s="436"/>
      <c r="BY103" s="436"/>
      <c r="BZ103" s="436"/>
      <c r="CA103" s="436"/>
      <c r="CB103" s="436"/>
      <c r="CC103" s="436"/>
      <c r="CD103" s="436"/>
      <c r="CE103" s="437">
        <f>SUM(IF(COLUMN($C103:$CD103)&lt;(3+'2、试卷（期末）'!$B$2),$C103:$CD103,))</f>
        <v>0</v>
      </c>
      <c r="CF103" s="437">
        <f>SUM(IF(COLUMN($C103:$CD103)&lt;(3+SUM('2、试卷（期末）'!$B$2:$B$3)),$C103:$CD103,))-$CE103</f>
        <v>0</v>
      </c>
      <c r="CG103" s="437">
        <f>SUM(IF(COLUMN($C103:$CD103)&lt;(3+SUM('2、试卷（期末）'!$B$2:$B$4)),$C103:$CD103,))-SUM($CE103:$CF103)</f>
        <v>0</v>
      </c>
      <c r="CH103" s="437">
        <f>SUM(IF(COLUMN($C103:$CD103)&lt;(3+SUM('2、试卷（期末）'!$B$2:$B$5)),$C103:$CD103,))-SUM($CE103:$CG103)</f>
        <v>0</v>
      </c>
      <c r="CI103" s="437">
        <f>SUM(IF(COLUMN($C103:$CD103)&lt;(3+SUM('2、试卷（期末）'!$B$2:$B$6)),$C103:$CD103,))-SUM($CE103:$CH103)</f>
        <v>0</v>
      </c>
      <c r="CJ103" s="437">
        <f>SUM(IF(COLUMN($C103:$CD103)&lt;(3+SUM('2、试卷（期末）'!$B$2:$B$7)),$C103:$CD103,))-SUM($CE103:$CI103)</f>
        <v>0</v>
      </c>
      <c r="CK103" s="437">
        <f>SUM(IF(COLUMN($C103:$CD103)&lt;(3+SUM('2、试卷（期末）'!$B$2:$B$8)),$C103:$CD103,))-SUM($CE103:$CJ103)</f>
        <v>0</v>
      </c>
      <c r="CL103" s="437">
        <f>SUM(IF(COLUMN($C103:$CD103)&lt;(3+SUM('2、试卷（期末）'!$B$2:$B$9)),$C103:$CD103,))-SUM($CE103:$CK103)</f>
        <v>0</v>
      </c>
      <c r="CM103" s="437">
        <f>SUM(IF(COLUMN($C103:$CD103)&lt;(3+SUM('2、试卷（期末）'!$B$2:$B$10)),$C103:$CD103,))-SUM($CE103:$CL103)</f>
        <v>0</v>
      </c>
      <c r="CN103" s="437">
        <f>SUM(IF(COLUMN($C103:$CD103)&lt;(3+SUM('2、试卷（期末）'!$B$2:$B$11)),$C103:$CD103,))-SUM($CE103:$CM103)</f>
        <v>0</v>
      </c>
      <c r="CO103" s="437">
        <f t="shared" si="3"/>
        <v>0</v>
      </c>
      <c r="CP103" s="438">
        <f ca="1">ROUND(CO103*'1、课程目标与考核方式'!$H$13/100+IF(ISERROR(VLOOKUP(A103,'4、平时成绩'!$A$2:$H$201,8,FALSE)),0,VLOOKUP(A103,'4、平时成绩'!$A$2:$H$201,8,FALSE)),0)</f>
        <v>0</v>
      </c>
    </row>
    <row r="104" s="32" customFormat="1" spans="1:94">
      <c r="A104" s="440"/>
      <c r="B104" s="440"/>
      <c r="C104" s="441"/>
      <c r="D104" s="436"/>
      <c r="E104" s="436"/>
      <c r="F104" s="436"/>
      <c r="G104" s="436"/>
      <c r="H104" s="436"/>
      <c r="I104" s="436"/>
      <c r="J104" s="436"/>
      <c r="K104" s="436"/>
      <c r="L104" s="436"/>
      <c r="M104" s="436"/>
      <c r="N104" s="436"/>
      <c r="O104" s="436"/>
      <c r="P104" s="436"/>
      <c r="Q104" s="436"/>
      <c r="R104" s="436"/>
      <c r="S104" s="436"/>
      <c r="T104" s="436"/>
      <c r="U104" s="436"/>
      <c r="V104" s="436"/>
      <c r="W104" s="436"/>
      <c r="X104" s="436"/>
      <c r="Y104" s="436"/>
      <c r="Z104" s="436"/>
      <c r="AA104" s="436"/>
      <c r="AB104" s="436"/>
      <c r="AC104" s="436"/>
      <c r="AD104" s="436"/>
      <c r="AE104" s="436"/>
      <c r="AF104" s="436"/>
      <c r="AG104" s="436"/>
      <c r="AH104" s="436"/>
      <c r="AI104" s="436"/>
      <c r="AJ104" s="436"/>
      <c r="AK104" s="436"/>
      <c r="AL104" s="436"/>
      <c r="AM104" s="436"/>
      <c r="AN104" s="436"/>
      <c r="AO104" s="436"/>
      <c r="AP104" s="436"/>
      <c r="AQ104" s="436"/>
      <c r="AR104" s="436"/>
      <c r="AS104" s="436"/>
      <c r="AT104" s="436"/>
      <c r="AU104" s="436"/>
      <c r="AV104" s="436"/>
      <c r="AW104" s="436"/>
      <c r="AX104" s="436"/>
      <c r="AY104" s="436"/>
      <c r="AZ104" s="436"/>
      <c r="BA104" s="436"/>
      <c r="BB104" s="436"/>
      <c r="BC104" s="436"/>
      <c r="BD104" s="436"/>
      <c r="BE104" s="436"/>
      <c r="BF104" s="436"/>
      <c r="BG104" s="436"/>
      <c r="BH104" s="436"/>
      <c r="BI104" s="436"/>
      <c r="BJ104" s="436"/>
      <c r="BK104" s="436"/>
      <c r="BL104" s="436"/>
      <c r="BM104" s="436"/>
      <c r="BN104" s="436"/>
      <c r="BO104" s="436"/>
      <c r="BP104" s="436"/>
      <c r="BQ104" s="436"/>
      <c r="BR104" s="436"/>
      <c r="BS104" s="436"/>
      <c r="BT104" s="436"/>
      <c r="BU104" s="436"/>
      <c r="BV104" s="436"/>
      <c r="BW104" s="436"/>
      <c r="BX104" s="436"/>
      <c r="BY104" s="436"/>
      <c r="BZ104" s="436"/>
      <c r="CA104" s="436"/>
      <c r="CB104" s="436"/>
      <c r="CC104" s="436"/>
      <c r="CD104" s="436"/>
      <c r="CE104" s="437">
        <f>SUM(IF(COLUMN($C104:$CD104)&lt;(3+'2、试卷（期末）'!$B$2),$C104:$CD104,))</f>
        <v>0</v>
      </c>
      <c r="CF104" s="437">
        <f>SUM(IF(COLUMN($C104:$CD104)&lt;(3+SUM('2、试卷（期末）'!$B$2:$B$3)),$C104:$CD104,))-$CE104</f>
        <v>0</v>
      </c>
      <c r="CG104" s="437">
        <f>SUM(IF(COLUMN($C104:$CD104)&lt;(3+SUM('2、试卷（期末）'!$B$2:$B$4)),$C104:$CD104,))-SUM($CE104:$CF104)</f>
        <v>0</v>
      </c>
      <c r="CH104" s="437">
        <f>SUM(IF(COLUMN($C104:$CD104)&lt;(3+SUM('2、试卷（期末）'!$B$2:$B$5)),$C104:$CD104,))-SUM($CE104:$CG104)</f>
        <v>0</v>
      </c>
      <c r="CI104" s="437">
        <f>SUM(IF(COLUMN($C104:$CD104)&lt;(3+SUM('2、试卷（期末）'!$B$2:$B$6)),$C104:$CD104,))-SUM($CE104:$CH104)</f>
        <v>0</v>
      </c>
      <c r="CJ104" s="437">
        <f>SUM(IF(COLUMN($C104:$CD104)&lt;(3+SUM('2、试卷（期末）'!$B$2:$B$7)),$C104:$CD104,))-SUM($CE104:$CI104)</f>
        <v>0</v>
      </c>
      <c r="CK104" s="437">
        <f>SUM(IF(COLUMN($C104:$CD104)&lt;(3+SUM('2、试卷（期末）'!$B$2:$B$8)),$C104:$CD104,))-SUM($CE104:$CJ104)</f>
        <v>0</v>
      </c>
      <c r="CL104" s="437">
        <f>SUM(IF(COLUMN($C104:$CD104)&lt;(3+SUM('2、试卷（期末）'!$B$2:$B$9)),$C104:$CD104,))-SUM($CE104:$CK104)</f>
        <v>0</v>
      </c>
      <c r="CM104" s="437">
        <f>SUM(IF(COLUMN($C104:$CD104)&lt;(3+SUM('2、试卷（期末）'!$B$2:$B$10)),$C104:$CD104,))-SUM($CE104:$CL104)</f>
        <v>0</v>
      </c>
      <c r="CN104" s="437">
        <f>SUM(IF(COLUMN($C104:$CD104)&lt;(3+SUM('2、试卷（期末）'!$B$2:$B$11)),$C104:$CD104,))-SUM($CE104:$CM104)</f>
        <v>0</v>
      </c>
      <c r="CO104" s="437">
        <f t="shared" si="3"/>
        <v>0</v>
      </c>
      <c r="CP104" s="438">
        <f ca="1">ROUND(CO104*'1、课程目标与考核方式'!$H$13/100+IF(ISERROR(VLOOKUP(A104,'4、平时成绩'!$A$2:$H$201,8,FALSE)),0,VLOOKUP(A104,'4、平时成绩'!$A$2:$H$201,8,FALSE)),0)</f>
        <v>0</v>
      </c>
    </row>
    <row r="105" s="32" customFormat="1" spans="1:94">
      <c r="A105" s="440"/>
      <c r="B105" s="440"/>
      <c r="C105" s="441"/>
      <c r="D105" s="436"/>
      <c r="E105" s="436"/>
      <c r="F105" s="436"/>
      <c r="G105" s="436"/>
      <c r="H105" s="436"/>
      <c r="I105" s="436"/>
      <c r="J105" s="436"/>
      <c r="K105" s="436"/>
      <c r="L105" s="436"/>
      <c r="M105" s="436"/>
      <c r="N105" s="436"/>
      <c r="O105" s="436"/>
      <c r="P105" s="436"/>
      <c r="Q105" s="436"/>
      <c r="R105" s="436"/>
      <c r="S105" s="436"/>
      <c r="T105" s="436"/>
      <c r="U105" s="436"/>
      <c r="V105" s="436"/>
      <c r="W105" s="436"/>
      <c r="X105" s="436"/>
      <c r="Y105" s="436"/>
      <c r="Z105" s="436"/>
      <c r="AA105" s="436"/>
      <c r="AB105" s="436"/>
      <c r="AC105" s="436"/>
      <c r="AD105" s="436"/>
      <c r="AE105" s="436"/>
      <c r="AF105" s="436"/>
      <c r="AG105" s="436"/>
      <c r="AH105" s="436"/>
      <c r="AI105" s="436"/>
      <c r="AJ105" s="436"/>
      <c r="AK105" s="436"/>
      <c r="AL105" s="436"/>
      <c r="AM105" s="436"/>
      <c r="AN105" s="436"/>
      <c r="AO105" s="436"/>
      <c r="AP105" s="436"/>
      <c r="AQ105" s="436"/>
      <c r="AR105" s="436"/>
      <c r="AS105" s="436"/>
      <c r="AT105" s="436"/>
      <c r="AU105" s="436"/>
      <c r="AV105" s="436"/>
      <c r="AW105" s="436"/>
      <c r="AX105" s="436"/>
      <c r="AY105" s="436"/>
      <c r="AZ105" s="436"/>
      <c r="BA105" s="436"/>
      <c r="BB105" s="436"/>
      <c r="BC105" s="436"/>
      <c r="BD105" s="436"/>
      <c r="BE105" s="436"/>
      <c r="BF105" s="436"/>
      <c r="BG105" s="436"/>
      <c r="BH105" s="436"/>
      <c r="BI105" s="436"/>
      <c r="BJ105" s="436"/>
      <c r="BK105" s="436"/>
      <c r="BL105" s="436"/>
      <c r="BM105" s="436"/>
      <c r="BN105" s="436"/>
      <c r="BO105" s="436"/>
      <c r="BP105" s="436"/>
      <c r="BQ105" s="436"/>
      <c r="BR105" s="436"/>
      <c r="BS105" s="436"/>
      <c r="BT105" s="436"/>
      <c r="BU105" s="436"/>
      <c r="BV105" s="436"/>
      <c r="BW105" s="436"/>
      <c r="BX105" s="436"/>
      <c r="BY105" s="436"/>
      <c r="BZ105" s="436"/>
      <c r="CA105" s="436"/>
      <c r="CB105" s="436"/>
      <c r="CC105" s="436"/>
      <c r="CD105" s="436"/>
      <c r="CE105" s="437">
        <f>SUM(IF(COLUMN($C105:$CD105)&lt;(3+'2、试卷（期末）'!$B$2),$C105:$CD105,))</f>
        <v>0</v>
      </c>
      <c r="CF105" s="437">
        <f>SUM(IF(COLUMN($C105:$CD105)&lt;(3+SUM('2、试卷（期末）'!$B$2:$B$3)),$C105:$CD105,))-$CE105</f>
        <v>0</v>
      </c>
      <c r="CG105" s="437">
        <f>SUM(IF(COLUMN($C105:$CD105)&lt;(3+SUM('2、试卷（期末）'!$B$2:$B$4)),$C105:$CD105,))-SUM($CE105:$CF105)</f>
        <v>0</v>
      </c>
      <c r="CH105" s="437">
        <f>SUM(IF(COLUMN($C105:$CD105)&lt;(3+SUM('2、试卷（期末）'!$B$2:$B$5)),$C105:$CD105,))-SUM($CE105:$CG105)</f>
        <v>0</v>
      </c>
      <c r="CI105" s="437">
        <f>SUM(IF(COLUMN($C105:$CD105)&lt;(3+SUM('2、试卷（期末）'!$B$2:$B$6)),$C105:$CD105,))-SUM($CE105:$CH105)</f>
        <v>0</v>
      </c>
      <c r="CJ105" s="437">
        <f>SUM(IF(COLUMN($C105:$CD105)&lt;(3+SUM('2、试卷（期末）'!$B$2:$B$7)),$C105:$CD105,))-SUM($CE105:$CI105)</f>
        <v>0</v>
      </c>
      <c r="CK105" s="437">
        <f>SUM(IF(COLUMN($C105:$CD105)&lt;(3+SUM('2、试卷（期末）'!$B$2:$B$8)),$C105:$CD105,))-SUM($CE105:$CJ105)</f>
        <v>0</v>
      </c>
      <c r="CL105" s="437">
        <f>SUM(IF(COLUMN($C105:$CD105)&lt;(3+SUM('2、试卷（期末）'!$B$2:$B$9)),$C105:$CD105,))-SUM($CE105:$CK105)</f>
        <v>0</v>
      </c>
      <c r="CM105" s="437">
        <f>SUM(IF(COLUMN($C105:$CD105)&lt;(3+SUM('2、试卷（期末）'!$B$2:$B$10)),$C105:$CD105,))-SUM($CE105:$CL105)</f>
        <v>0</v>
      </c>
      <c r="CN105" s="437">
        <f>SUM(IF(COLUMN($C105:$CD105)&lt;(3+SUM('2、试卷（期末）'!$B$2:$B$11)),$C105:$CD105,))-SUM($CE105:$CM105)</f>
        <v>0</v>
      </c>
      <c r="CO105" s="437">
        <f t="shared" si="3"/>
        <v>0</v>
      </c>
      <c r="CP105" s="438">
        <f ca="1">ROUND(CO105*'1、课程目标与考核方式'!$H$13/100+IF(ISERROR(VLOOKUP(A105,'4、平时成绩'!$A$2:$H$201,8,FALSE)),0,VLOOKUP(A105,'4、平时成绩'!$A$2:$H$201,8,FALSE)),0)</f>
        <v>0</v>
      </c>
    </row>
    <row r="106" s="32" customFormat="1" spans="1:94">
      <c r="A106" s="440"/>
      <c r="B106" s="440"/>
      <c r="C106" s="441"/>
      <c r="D106" s="436"/>
      <c r="E106" s="436"/>
      <c r="F106" s="436"/>
      <c r="G106" s="436"/>
      <c r="H106" s="436"/>
      <c r="I106" s="436"/>
      <c r="J106" s="436"/>
      <c r="K106" s="436"/>
      <c r="L106" s="436"/>
      <c r="M106" s="436"/>
      <c r="N106" s="436"/>
      <c r="O106" s="436"/>
      <c r="P106" s="436"/>
      <c r="Q106" s="436"/>
      <c r="R106" s="436"/>
      <c r="S106" s="436"/>
      <c r="T106" s="436"/>
      <c r="U106" s="436"/>
      <c r="V106" s="436"/>
      <c r="W106" s="436"/>
      <c r="X106" s="436"/>
      <c r="Y106" s="436"/>
      <c r="Z106" s="436"/>
      <c r="AA106" s="436"/>
      <c r="AB106" s="436"/>
      <c r="AC106" s="436"/>
      <c r="AD106" s="436"/>
      <c r="AE106" s="436"/>
      <c r="AF106" s="436"/>
      <c r="AG106" s="436"/>
      <c r="AH106" s="436"/>
      <c r="AI106" s="436"/>
      <c r="AJ106" s="436"/>
      <c r="AK106" s="436"/>
      <c r="AL106" s="436"/>
      <c r="AM106" s="436"/>
      <c r="AN106" s="436"/>
      <c r="AO106" s="436"/>
      <c r="AP106" s="436"/>
      <c r="AQ106" s="436"/>
      <c r="AR106" s="436"/>
      <c r="AS106" s="436"/>
      <c r="AT106" s="436"/>
      <c r="AU106" s="436"/>
      <c r="AV106" s="436"/>
      <c r="AW106" s="436"/>
      <c r="AX106" s="436"/>
      <c r="AY106" s="436"/>
      <c r="AZ106" s="436"/>
      <c r="BA106" s="436"/>
      <c r="BB106" s="436"/>
      <c r="BC106" s="436"/>
      <c r="BD106" s="436"/>
      <c r="BE106" s="436"/>
      <c r="BF106" s="436"/>
      <c r="BG106" s="436"/>
      <c r="BH106" s="436"/>
      <c r="BI106" s="436"/>
      <c r="BJ106" s="436"/>
      <c r="BK106" s="436"/>
      <c r="BL106" s="436"/>
      <c r="BM106" s="436"/>
      <c r="BN106" s="436"/>
      <c r="BO106" s="436"/>
      <c r="BP106" s="436"/>
      <c r="BQ106" s="436"/>
      <c r="BR106" s="436"/>
      <c r="BS106" s="436"/>
      <c r="BT106" s="436"/>
      <c r="BU106" s="436"/>
      <c r="BV106" s="436"/>
      <c r="BW106" s="436"/>
      <c r="BX106" s="436"/>
      <c r="BY106" s="436"/>
      <c r="BZ106" s="436"/>
      <c r="CA106" s="436"/>
      <c r="CB106" s="436"/>
      <c r="CC106" s="436"/>
      <c r="CD106" s="436"/>
      <c r="CE106" s="437">
        <f>SUM(IF(COLUMN($C106:$CD106)&lt;(3+'2、试卷（期末）'!$B$2),$C106:$CD106,))</f>
        <v>0</v>
      </c>
      <c r="CF106" s="437">
        <f>SUM(IF(COLUMN($C106:$CD106)&lt;(3+SUM('2、试卷（期末）'!$B$2:$B$3)),$C106:$CD106,))-$CE106</f>
        <v>0</v>
      </c>
      <c r="CG106" s="437">
        <f>SUM(IF(COLUMN($C106:$CD106)&lt;(3+SUM('2、试卷（期末）'!$B$2:$B$4)),$C106:$CD106,))-SUM($CE106:$CF106)</f>
        <v>0</v>
      </c>
      <c r="CH106" s="437">
        <f>SUM(IF(COLUMN($C106:$CD106)&lt;(3+SUM('2、试卷（期末）'!$B$2:$B$5)),$C106:$CD106,))-SUM($CE106:$CG106)</f>
        <v>0</v>
      </c>
      <c r="CI106" s="437">
        <f>SUM(IF(COLUMN($C106:$CD106)&lt;(3+SUM('2、试卷（期末）'!$B$2:$B$6)),$C106:$CD106,))-SUM($CE106:$CH106)</f>
        <v>0</v>
      </c>
      <c r="CJ106" s="437">
        <f>SUM(IF(COLUMN($C106:$CD106)&lt;(3+SUM('2、试卷（期末）'!$B$2:$B$7)),$C106:$CD106,))-SUM($CE106:$CI106)</f>
        <v>0</v>
      </c>
      <c r="CK106" s="437">
        <f>SUM(IF(COLUMN($C106:$CD106)&lt;(3+SUM('2、试卷（期末）'!$B$2:$B$8)),$C106:$CD106,))-SUM($CE106:$CJ106)</f>
        <v>0</v>
      </c>
      <c r="CL106" s="437">
        <f>SUM(IF(COLUMN($C106:$CD106)&lt;(3+SUM('2、试卷（期末）'!$B$2:$B$9)),$C106:$CD106,))-SUM($CE106:$CK106)</f>
        <v>0</v>
      </c>
      <c r="CM106" s="437">
        <f>SUM(IF(COLUMN($C106:$CD106)&lt;(3+SUM('2、试卷（期末）'!$B$2:$B$10)),$C106:$CD106,))-SUM($CE106:$CL106)</f>
        <v>0</v>
      </c>
      <c r="CN106" s="437">
        <f>SUM(IF(COLUMN($C106:$CD106)&lt;(3+SUM('2、试卷（期末）'!$B$2:$B$11)),$C106:$CD106,))-SUM($CE106:$CM106)</f>
        <v>0</v>
      </c>
      <c r="CO106" s="437">
        <f t="shared" si="3"/>
        <v>0</v>
      </c>
      <c r="CP106" s="438">
        <f ca="1">ROUND(CO106*'1、课程目标与考核方式'!$H$13/100+IF(ISERROR(VLOOKUP(A106,'4、平时成绩'!$A$2:$H$201,8,FALSE)),0,VLOOKUP(A106,'4、平时成绩'!$A$2:$H$201,8,FALSE)),0)</f>
        <v>0</v>
      </c>
    </row>
    <row r="107" s="32" customFormat="1" spans="1:94">
      <c r="A107" s="440"/>
      <c r="B107" s="440"/>
      <c r="C107" s="441"/>
      <c r="D107" s="436"/>
      <c r="E107" s="436"/>
      <c r="F107" s="436"/>
      <c r="G107" s="436"/>
      <c r="H107" s="436"/>
      <c r="I107" s="436"/>
      <c r="J107" s="436"/>
      <c r="K107" s="436"/>
      <c r="L107" s="436"/>
      <c r="M107" s="436"/>
      <c r="N107" s="436"/>
      <c r="O107" s="436"/>
      <c r="P107" s="436"/>
      <c r="Q107" s="436"/>
      <c r="R107" s="436"/>
      <c r="S107" s="436"/>
      <c r="T107" s="436"/>
      <c r="U107" s="436"/>
      <c r="V107" s="436"/>
      <c r="W107" s="436"/>
      <c r="X107" s="436"/>
      <c r="Y107" s="436"/>
      <c r="Z107" s="436"/>
      <c r="AA107" s="436"/>
      <c r="AB107" s="436"/>
      <c r="AC107" s="436"/>
      <c r="AD107" s="436"/>
      <c r="AE107" s="436"/>
      <c r="AF107" s="436"/>
      <c r="AG107" s="436"/>
      <c r="AH107" s="436"/>
      <c r="AI107" s="436"/>
      <c r="AJ107" s="436"/>
      <c r="AK107" s="436"/>
      <c r="AL107" s="436"/>
      <c r="AM107" s="436"/>
      <c r="AN107" s="436"/>
      <c r="AO107" s="436"/>
      <c r="AP107" s="436"/>
      <c r="AQ107" s="436"/>
      <c r="AR107" s="436"/>
      <c r="AS107" s="436"/>
      <c r="AT107" s="436"/>
      <c r="AU107" s="436"/>
      <c r="AV107" s="436"/>
      <c r="AW107" s="436"/>
      <c r="AX107" s="436"/>
      <c r="AY107" s="436"/>
      <c r="AZ107" s="436"/>
      <c r="BA107" s="436"/>
      <c r="BB107" s="436"/>
      <c r="BC107" s="436"/>
      <c r="BD107" s="436"/>
      <c r="BE107" s="436"/>
      <c r="BF107" s="436"/>
      <c r="BG107" s="436"/>
      <c r="BH107" s="436"/>
      <c r="BI107" s="436"/>
      <c r="BJ107" s="436"/>
      <c r="BK107" s="436"/>
      <c r="BL107" s="436"/>
      <c r="BM107" s="436"/>
      <c r="BN107" s="436"/>
      <c r="BO107" s="436"/>
      <c r="BP107" s="436"/>
      <c r="BQ107" s="436"/>
      <c r="BR107" s="436"/>
      <c r="BS107" s="436"/>
      <c r="BT107" s="436"/>
      <c r="BU107" s="436"/>
      <c r="BV107" s="436"/>
      <c r="BW107" s="436"/>
      <c r="BX107" s="436"/>
      <c r="BY107" s="436"/>
      <c r="BZ107" s="436"/>
      <c r="CA107" s="436"/>
      <c r="CB107" s="436"/>
      <c r="CC107" s="436"/>
      <c r="CD107" s="436"/>
      <c r="CE107" s="437">
        <f>SUM(IF(COLUMN($C107:$CD107)&lt;(3+'2、试卷（期末）'!$B$2),$C107:$CD107,))</f>
        <v>0</v>
      </c>
      <c r="CF107" s="437">
        <f>SUM(IF(COLUMN($C107:$CD107)&lt;(3+SUM('2、试卷（期末）'!$B$2:$B$3)),$C107:$CD107,))-$CE107</f>
        <v>0</v>
      </c>
      <c r="CG107" s="437">
        <f>SUM(IF(COLUMN($C107:$CD107)&lt;(3+SUM('2、试卷（期末）'!$B$2:$B$4)),$C107:$CD107,))-SUM($CE107:$CF107)</f>
        <v>0</v>
      </c>
      <c r="CH107" s="437">
        <f>SUM(IF(COLUMN($C107:$CD107)&lt;(3+SUM('2、试卷（期末）'!$B$2:$B$5)),$C107:$CD107,))-SUM($CE107:$CG107)</f>
        <v>0</v>
      </c>
      <c r="CI107" s="437">
        <f>SUM(IF(COLUMN($C107:$CD107)&lt;(3+SUM('2、试卷（期末）'!$B$2:$B$6)),$C107:$CD107,))-SUM($CE107:$CH107)</f>
        <v>0</v>
      </c>
      <c r="CJ107" s="437">
        <f>SUM(IF(COLUMN($C107:$CD107)&lt;(3+SUM('2、试卷（期末）'!$B$2:$B$7)),$C107:$CD107,))-SUM($CE107:$CI107)</f>
        <v>0</v>
      </c>
      <c r="CK107" s="437">
        <f>SUM(IF(COLUMN($C107:$CD107)&lt;(3+SUM('2、试卷（期末）'!$B$2:$B$8)),$C107:$CD107,))-SUM($CE107:$CJ107)</f>
        <v>0</v>
      </c>
      <c r="CL107" s="437">
        <f>SUM(IF(COLUMN($C107:$CD107)&lt;(3+SUM('2、试卷（期末）'!$B$2:$B$9)),$C107:$CD107,))-SUM($CE107:$CK107)</f>
        <v>0</v>
      </c>
      <c r="CM107" s="437">
        <f>SUM(IF(COLUMN($C107:$CD107)&lt;(3+SUM('2、试卷（期末）'!$B$2:$B$10)),$C107:$CD107,))-SUM($CE107:$CL107)</f>
        <v>0</v>
      </c>
      <c r="CN107" s="437">
        <f>SUM(IF(COLUMN($C107:$CD107)&lt;(3+SUM('2、试卷（期末）'!$B$2:$B$11)),$C107:$CD107,))-SUM($CE107:$CM107)</f>
        <v>0</v>
      </c>
      <c r="CO107" s="437">
        <f t="shared" si="3"/>
        <v>0</v>
      </c>
      <c r="CP107" s="438">
        <f ca="1">ROUND(CO107*'1、课程目标与考核方式'!$H$13/100+IF(ISERROR(VLOOKUP(A107,'4、平时成绩'!$A$2:$H$201,8,FALSE)),0,VLOOKUP(A107,'4、平时成绩'!$A$2:$H$201,8,FALSE)),0)</f>
        <v>0</v>
      </c>
    </row>
    <row r="108" s="32" customFormat="1" spans="1:94">
      <c r="A108" s="440"/>
      <c r="B108" s="440"/>
      <c r="C108" s="441"/>
      <c r="D108" s="436"/>
      <c r="E108" s="436"/>
      <c r="F108" s="436"/>
      <c r="G108" s="436"/>
      <c r="H108" s="436"/>
      <c r="I108" s="436"/>
      <c r="J108" s="436"/>
      <c r="K108" s="436"/>
      <c r="L108" s="436"/>
      <c r="M108" s="436"/>
      <c r="N108" s="436"/>
      <c r="O108" s="436"/>
      <c r="P108" s="436"/>
      <c r="Q108" s="436"/>
      <c r="R108" s="436"/>
      <c r="S108" s="436"/>
      <c r="T108" s="436"/>
      <c r="U108" s="436"/>
      <c r="V108" s="436"/>
      <c r="W108" s="436"/>
      <c r="X108" s="436"/>
      <c r="Y108" s="436"/>
      <c r="Z108" s="436"/>
      <c r="AA108" s="436"/>
      <c r="AB108" s="436"/>
      <c r="AC108" s="436"/>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6"/>
      <c r="AY108" s="436"/>
      <c r="AZ108" s="436"/>
      <c r="BA108" s="436"/>
      <c r="BB108" s="436"/>
      <c r="BC108" s="436"/>
      <c r="BD108" s="436"/>
      <c r="BE108" s="436"/>
      <c r="BF108" s="436"/>
      <c r="BG108" s="436"/>
      <c r="BH108" s="436"/>
      <c r="BI108" s="436"/>
      <c r="BJ108" s="436"/>
      <c r="BK108" s="436"/>
      <c r="BL108" s="436"/>
      <c r="BM108" s="436"/>
      <c r="BN108" s="436"/>
      <c r="BO108" s="436"/>
      <c r="BP108" s="436"/>
      <c r="BQ108" s="436"/>
      <c r="BR108" s="436"/>
      <c r="BS108" s="436"/>
      <c r="BT108" s="436"/>
      <c r="BU108" s="436"/>
      <c r="BV108" s="436"/>
      <c r="BW108" s="436"/>
      <c r="BX108" s="436"/>
      <c r="BY108" s="436"/>
      <c r="BZ108" s="436"/>
      <c r="CA108" s="436"/>
      <c r="CB108" s="436"/>
      <c r="CC108" s="436"/>
      <c r="CD108" s="436"/>
      <c r="CE108" s="437">
        <f>SUM(IF(COLUMN($C108:$CD108)&lt;(3+'2、试卷（期末）'!$B$2),$C108:$CD108,))</f>
        <v>0</v>
      </c>
      <c r="CF108" s="437">
        <f>SUM(IF(COLUMN($C108:$CD108)&lt;(3+SUM('2、试卷（期末）'!$B$2:$B$3)),$C108:$CD108,))-$CE108</f>
        <v>0</v>
      </c>
      <c r="CG108" s="437">
        <f>SUM(IF(COLUMN($C108:$CD108)&lt;(3+SUM('2、试卷（期末）'!$B$2:$B$4)),$C108:$CD108,))-SUM($CE108:$CF108)</f>
        <v>0</v>
      </c>
      <c r="CH108" s="437">
        <f>SUM(IF(COLUMN($C108:$CD108)&lt;(3+SUM('2、试卷（期末）'!$B$2:$B$5)),$C108:$CD108,))-SUM($CE108:$CG108)</f>
        <v>0</v>
      </c>
      <c r="CI108" s="437">
        <f>SUM(IF(COLUMN($C108:$CD108)&lt;(3+SUM('2、试卷（期末）'!$B$2:$B$6)),$C108:$CD108,))-SUM($CE108:$CH108)</f>
        <v>0</v>
      </c>
      <c r="CJ108" s="437">
        <f>SUM(IF(COLUMN($C108:$CD108)&lt;(3+SUM('2、试卷（期末）'!$B$2:$B$7)),$C108:$CD108,))-SUM($CE108:$CI108)</f>
        <v>0</v>
      </c>
      <c r="CK108" s="437">
        <f>SUM(IF(COLUMN($C108:$CD108)&lt;(3+SUM('2、试卷（期末）'!$B$2:$B$8)),$C108:$CD108,))-SUM($CE108:$CJ108)</f>
        <v>0</v>
      </c>
      <c r="CL108" s="437">
        <f>SUM(IF(COLUMN($C108:$CD108)&lt;(3+SUM('2、试卷（期末）'!$B$2:$B$9)),$C108:$CD108,))-SUM($CE108:$CK108)</f>
        <v>0</v>
      </c>
      <c r="CM108" s="437">
        <f>SUM(IF(COLUMN($C108:$CD108)&lt;(3+SUM('2、试卷（期末）'!$B$2:$B$10)),$C108:$CD108,))-SUM($CE108:$CL108)</f>
        <v>0</v>
      </c>
      <c r="CN108" s="437">
        <f>SUM(IF(COLUMN($C108:$CD108)&lt;(3+SUM('2、试卷（期末）'!$B$2:$B$11)),$C108:$CD108,))-SUM($CE108:$CM108)</f>
        <v>0</v>
      </c>
      <c r="CO108" s="437">
        <f t="shared" si="3"/>
        <v>0</v>
      </c>
      <c r="CP108" s="438">
        <f ca="1">ROUND(CO108*'1、课程目标与考核方式'!$H$13/100+IF(ISERROR(VLOOKUP(A108,'4、平时成绩'!$A$2:$H$201,8,FALSE)),0,VLOOKUP(A108,'4、平时成绩'!$A$2:$H$201,8,FALSE)),0)</f>
        <v>0</v>
      </c>
    </row>
    <row r="109" s="32" customFormat="1" spans="1:94">
      <c r="A109" s="440"/>
      <c r="B109" s="440"/>
      <c r="C109" s="441"/>
      <c r="D109" s="436"/>
      <c r="E109" s="436"/>
      <c r="F109" s="436"/>
      <c r="G109" s="436"/>
      <c r="H109" s="436"/>
      <c r="I109" s="436"/>
      <c r="J109" s="436"/>
      <c r="K109" s="436"/>
      <c r="L109" s="436"/>
      <c r="M109" s="436"/>
      <c r="N109" s="436"/>
      <c r="O109" s="436"/>
      <c r="P109" s="436"/>
      <c r="Q109" s="436"/>
      <c r="R109" s="436"/>
      <c r="S109" s="436"/>
      <c r="T109" s="436"/>
      <c r="U109" s="436"/>
      <c r="V109" s="436"/>
      <c r="W109" s="436"/>
      <c r="X109" s="436"/>
      <c r="Y109" s="436"/>
      <c r="Z109" s="436"/>
      <c r="AA109" s="436"/>
      <c r="AB109" s="436"/>
      <c r="AC109" s="436"/>
      <c r="AD109" s="436"/>
      <c r="AE109" s="436"/>
      <c r="AF109" s="436"/>
      <c r="AG109" s="436"/>
      <c r="AH109" s="436"/>
      <c r="AI109" s="436"/>
      <c r="AJ109" s="436"/>
      <c r="AK109" s="436"/>
      <c r="AL109" s="436"/>
      <c r="AM109" s="436"/>
      <c r="AN109" s="436"/>
      <c r="AO109" s="436"/>
      <c r="AP109" s="436"/>
      <c r="AQ109" s="436"/>
      <c r="AR109" s="436"/>
      <c r="AS109" s="436"/>
      <c r="AT109" s="436"/>
      <c r="AU109" s="436"/>
      <c r="AV109" s="436"/>
      <c r="AW109" s="436"/>
      <c r="AX109" s="436"/>
      <c r="AY109" s="436"/>
      <c r="AZ109" s="436"/>
      <c r="BA109" s="436"/>
      <c r="BB109" s="436"/>
      <c r="BC109" s="436"/>
      <c r="BD109" s="436"/>
      <c r="BE109" s="436"/>
      <c r="BF109" s="436"/>
      <c r="BG109" s="436"/>
      <c r="BH109" s="436"/>
      <c r="BI109" s="436"/>
      <c r="BJ109" s="436"/>
      <c r="BK109" s="436"/>
      <c r="BL109" s="436"/>
      <c r="BM109" s="436"/>
      <c r="BN109" s="436"/>
      <c r="BO109" s="436"/>
      <c r="BP109" s="436"/>
      <c r="BQ109" s="436"/>
      <c r="BR109" s="436"/>
      <c r="BS109" s="436"/>
      <c r="BT109" s="436"/>
      <c r="BU109" s="436"/>
      <c r="BV109" s="436"/>
      <c r="BW109" s="436"/>
      <c r="BX109" s="436"/>
      <c r="BY109" s="436"/>
      <c r="BZ109" s="436"/>
      <c r="CA109" s="436"/>
      <c r="CB109" s="436"/>
      <c r="CC109" s="436"/>
      <c r="CD109" s="436"/>
      <c r="CE109" s="437">
        <f>SUM(IF(COLUMN($C109:$CD109)&lt;(3+'2、试卷（期末）'!$B$2),$C109:$CD109,))</f>
        <v>0</v>
      </c>
      <c r="CF109" s="437">
        <f>SUM(IF(COLUMN($C109:$CD109)&lt;(3+SUM('2、试卷（期末）'!$B$2:$B$3)),$C109:$CD109,))-$CE109</f>
        <v>0</v>
      </c>
      <c r="CG109" s="437">
        <f>SUM(IF(COLUMN($C109:$CD109)&lt;(3+SUM('2、试卷（期末）'!$B$2:$B$4)),$C109:$CD109,))-SUM($CE109:$CF109)</f>
        <v>0</v>
      </c>
      <c r="CH109" s="437">
        <f>SUM(IF(COLUMN($C109:$CD109)&lt;(3+SUM('2、试卷（期末）'!$B$2:$B$5)),$C109:$CD109,))-SUM($CE109:$CG109)</f>
        <v>0</v>
      </c>
      <c r="CI109" s="437">
        <f>SUM(IF(COLUMN($C109:$CD109)&lt;(3+SUM('2、试卷（期末）'!$B$2:$B$6)),$C109:$CD109,))-SUM($CE109:$CH109)</f>
        <v>0</v>
      </c>
      <c r="CJ109" s="437">
        <f>SUM(IF(COLUMN($C109:$CD109)&lt;(3+SUM('2、试卷（期末）'!$B$2:$B$7)),$C109:$CD109,))-SUM($CE109:$CI109)</f>
        <v>0</v>
      </c>
      <c r="CK109" s="437">
        <f>SUM(IF(COLUMN($C109:$CD109)&lt;(3+SUM('2、试卷（期末）'!$B$2:$B$8)),$C109:$CD109,))-SUM($CE109:$CJ109)</f>
        <v>0</v>
      </c>
      <c r="CL109" s="437">
        <f>SUM(IF(COLUMN($C109:$CD109)&lt;(3+SUM('2、试卷（期末）'!$B$2:$B$9)),$C109:$CD109,))-SUM($CE109:$CK109)</f>
        <v>0</v>
      </c>
      <c r="CM109" s="437">
        <f>SUM(IF(COLUMN($C109:$CD109)&lt;(3+SUM('2、试卷（期末）'!$B$2:$B$10)),$C109:$CD109,))-SUM($CE109:$CL109)</f>
        <v>0</v>
      </c>
      <c r="CN109" s="437">
        <f>SUM(IF(COLUMN($C109:$CD109)&lt;(3+SUM('2、试卷（期末）'!$B$2:$B$11)),$C109:$CD109,))-SUM($CE109:$CM109)</f>
        <v>0</v>
      </c>
      <c r="CO109" s="437">
        <f t="shared" si="3"/>
        <v>0</v>
      </c>
      <c r="CP109" s="438">
        <f ca="1">ROUND(CO109*'1、课程目标与考核方式'!$H$13/100+IF(ISERROR(VLOOKUP(A109,'4、平时成绩'!$A$2:$H$201,8,FALSE)),0,VLOOKUP(A109,'4、平时成绩'!$A$2:$H$201,8,FALSE)),0)</f>
        <v>0</v>
      </c>
    </row>
    <row r="110" s="32" customFormat="1" spans="1:94">
      <c r="A110" s="440"/>
      <c r="B110" s="440"/>
      <c r="C110" s="441"/>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6"/>
      <c r="AD110" s="436"/>
      <c r="AE110" s="436"/>
      <c r="AF110" s="436"/>
      <c r="AG110" s="436"/>
      <c r="AH110" s="436"/>
      <c r="AI110" s="436"/>
      <c r="AJ110" s="436"/>
      <c r="AK110" s="436"/>
      <c r="AL110" s="436"/>
      <c r="AM110" s="436"/>
      <c r="AN110" s="436"/>
      <c r="AO110" s="436"/>
      <c r="AP110" s="436"/>
      <c r="AQ110" s="436"/>
      <c r="AR110" s="436"/>
      <c r="AS110" s="436"/>
      <c r="AT110" s="436"/>
      <c r="AU110" s="436"/>
      <c r="AV110" s="436"/>
      <c r="AW110" s="436"/>
      <c r="AX110" s="436"/>
      <c r="AY110" s="436"/>
      <c r="AZ110" s="436"/>
      <c r="BA110" s="436"/>
      <c r="BB110" s="436"/>
      <c r="BC110" s="436"/>
      <c r="BD110" s="436"/>
      <c r="BE110" s="436"/>
      <c r="BF110" s="436"/>
      <c r="BG110" s="436"/>
      <c r="BH110" s="436"/>
      <c r="BI110" s="436"/>
      <c r="BJ110" s="436"/>
      <c r="BK110" s="436"/>
      <c r="BL110" s="436"/>
      <c r="BM110" s="436"/>
      <c r="BN110" s="436"/>
      <c r="BO110" s="436"/>
      <c r="BP110" s="436"/>
      <c r="BQ110" s="436"/>
      <c r="BR110" s="436"/>
      <c r="BS110" s="436"/>
      <c r="BT110" s="436"/>
      <c r="BU110" s="436"/>
      <c r="BV110" s="436"/>
      <c r="BW110" s="436"/>
      <c r="BX110" s="436"/>
      <c r="BY110" s="436"/>
      <c r="BZ110" s="436"/>
      <c r="CA110" s="436"/>
      <c r="CB110" s="436"/>
      <c r="CC110" s="436"/>
      <c r="CD110" s="436"/>
      <c r="CE110" s="437">
        <f>SUM(IF(COLUMN($C110:$CD110)&lt;(3+'2、试卷（期末）'!$B$2),$C110:$CD110,))</f>
        <v>0</v>
      </c>
      <c r="CF110" s="437">
        <f>SUM(IF(COLUMN($C110:$CD110)&lt;(3+SUM('2、试卷（期末）'!$B$2:$B$3)),$C110:$CD110,))-$CE110</f>
        <v>0</v>
      </c>
      <c r="CG110" s="437">
        <f>SUM(IF(COLUMN($C110:$CD110)&lt;(3+SUM('2、试卷（期末）'!$B$2:$B$4)),$C110:$CD110,))-SUM($CE110:$CF110)</f>
        <v>0</v>
      </c>
      <c r="CH110" s="437">
        <f>SUM(IF(COLUMN($C110:$CD110)&lt;(3+SUM('2、试卷（期末）'!$B$2:$B$5)),$C110:$CD110,))-SUM($CE110:$CG110)</f>
        <v>0</v>
      </c>
      <c r="CI110" s="437">
        <f>SUM(IF(COLUMN($C110:$CD110)&lt;(3+SUM('2、试卷（期末）'!$B$2:$B$6)),$C110:$CD110,))-SUM($CE110:$CH110)</f>
        <v>0</v>
      </c>
      <c r="CJ110" s="437">
        <f>SUM(IF(COLUMN($C110:$CD110)&lt;(3+SUM('2、试卷（期末）'!$B$2:$B$7)),$C110:$CD110,))-SUM($CE110:$CI110)</f>
        <v>0</v>
      </c>
      <c r="CK110" s="437">
        <f>SUM(IF(COLUMN($C110:$CD110)&lt;(3+SUM('2、试卷（期末）'!$B$2:$B$8)),$C110:$CD110,))-SUM($CE110:$CJ110)</f>
        <v>0</v>
      </c>
      <c r="CL110" s="437">
        <f>SUM(IF(COLUMN($C110:$CD110)&lt;(3+SUM('2、试卷（期末）'!$B$2:$B$9)),$C110:$CD110,))-SUM($CE110:$CK110)</f>
        <v>0</v>
      </c>
      <c r="CM110" s="437">
        <f>SUM(IF(COLUMN($C110:$CD110)&lt;(3+SUM('2、试卷（期末）'!$B$2:$B$10)),$C110:$CD110,))-SUM($CE110:$CL110)</f>
        <v>0</v>
      </c>
      <c r="CN110" s="437">
        <f>SUM(IF(COLUMN($C110:$CD110)&lt;(3+SUM('2、试卷（期末）'!$B$2:$B$11)),$C110:$CD110,))-SUM($CE110:$CM110)</f>
        <v>0</v>
      </c>
      <c r="CO110" s="437">
        <f t="shared" si="3"/>
        <v>0</v>
      </c>
      <c r="CP110" s="438">
        <f ca="1">ROUND(CO110*'1、课程目标与考核方式'!$H$13/100+IF(ISERROR(VLOOKUP(A110,'4、平时成绩'!$A$2:$H$201,8,FALSE)),0,VLOOKUP(A110,'4、平时成绩'!$A$2:$H$201,8,FALSE)),0)</f>
        <v>0</v>
      </c>
    </row>
    <row r="111" s="32" customFormat="1" spans="1:94">
      <c r="A111" s="440"/>
      <c r="B111" s="440"/>
      <c r="C111" s="441"/>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436"/>
      <c r="AE111" s="436"/>
      <c r="AF111" s="436"/>
      <c r="AG111" s="436"/>
      <c r="AH111" s="436"/>
      <c r="AI111" s="436"/>
      <c r="AJ111" s="436"/>
      <c r="AK111" s="436"/>
      <c r="AL111" s="436"/>
      <c r="AM111" s="436"/>
      <c r="AN111" s="436"/>
      <c r="AO111" s="436"/>
      <c r="AP111" s="436"/>
      <c r="AQ111" s="436"/>
      <c r="AR111" s="436"/>
      <c r="AS111" s="436"/>
      <c r="AT111" s="436"/>
      <c r="AU111" s="436"/>
      <c r="AV111" s="436"/>
      <c r="AW111" s="436"/>
      <c r="AX111" s="436"/>
      <c r="AY111" s="436"/>
      <c r="AZ111" s="436"/>
      <c r="BA111" s="436"/>
      <c r="BB111" s="436"/>
      <c r="BC111" s="436"/>
      <c r="BD111" s="436"/>
      <c r="BE111" s="436"/>
      <c r="BF111" s="436"/>
      <c r="BG111" s="436"/>
      <c r="BH111" s="436"/>
      <c r="BI111" s="436"/>
      <c r="BJ111" s="436"/>
      <c r="BK111" s="436"/>
      <c r="BL111" s="436"/>
      <c r="BM111" s="436"/>
      <c r="BN111" s="436"/>
      <c r="BO111" s="436"/>
      <c r="BP111" s="436"/>
      <c r="BQ111" s="436"/>
      <c r="BR111" s="436"/>
      <c r="BS111" s="436"/>
      <c r="BT111" s="436"/>
      <c r="BU111" s="436"/>
      <c r="BV111" s="436"/>
      <c r="BW111" s="436"/>
      <c r="BX111" s="436"/>
      <c r="BY111" s="436"/>
      <c r="BZ111" s="436"/>
      <c r="CA111" s="436"/>
      <c r="CB111" s="436"/>
      <c r="CC111" s="436"/>
      <c r="CD111" s="436"/>
      <c r="CE111" s="437">
        <f>SUM(IF(COLUMN($C111:$CD111)&lt;(3+'2、试卷（期末）'!$B$2),$C111:$CD111,))</f>
        <v>0</v>
      </c>
      <c r="CF111" s="437">
        <f>SUM(IF(COLUMN($C111:$CD111)&lt;(3+SUM('2、试卷（期末）'!$B$2:$B$3)),$C111:$CD111,))-$CE111</f>
        <v>0</v>
      </c>
      <c r="CG111" s="437">
        <f>SUM(IF(COLUMN($C111:$CD111)&lt;(3+SUM('2、试卷（期末）'!$B$2:$B$4)),$C111:$CD111,))-SUM($CE111:$CF111)</f>
        <v>0</v>
      </c>
      <c r="CH111" s="437">
        <f>SUM(IF(COLUMN($C111:$CD111)&lt;(3+SUM('2、试卷（期末）'!$B$2:$B$5)),$C111:$CD111,))-SUM($CE111:$CG111)</f>
        <v>0</v>
      </c>
      <c r="CI111" s="437">
        <f>SUM(IF(COLUMN($C111:$CD111)&lt;(3+SUM('2、试卷（期末）'!$B$2:$B$6)),$C111:$CD111,))-SUM($CE111:$CH111)</f>
        <v>0</v>
      </c>
      <c r="CJ111" s="437">
        <f>SUM(IF(COLUMN($C111:$CD111)&lt;(3+SUM('2、试卷（期末）'!$B$2:$B$7)),$C111:$CD111,))-SUM($CE111:$CI111)</f>
        <v>0</v>
      </c>
      <c r="CK111" s="437">
        <f>SUM(IF(COLUMN($C111:$CD111)&lt;(3+SUM('2、试卷（期末）'!$B$2:$B$8)),$C111:$CD111,))-SUM($CE111:$CJ111)</f>
        <v>0</v>
      </c>
      <c r="CL111" s="437">
        <f>SUM(IF(COLUMN($C111:$CD111)&lt;(3+SUM('2、试卷（期末）'!$B$2:$B$9)),$C111:$CD111,))-SUM($CE111:$CK111)</f>
        <v>0</v>
      </c>
      <c r="CM111" s="437">
        <f>SUM(IF(COLUMN($C111:$CD111)&lt;(3+SUM('2、试卷（期末）'!$B$2:$B$10)),$C111:$CD111,))-SUM($CE111:$CL111)</f>
        <v>0</v>
      </c>
      <c r="CN111" s="437">
        <f>SUM(IF(COLUMN($C111:$CD111)&lt;(3+SUM('2、试卷（期末）'!$B$2:$B$11)),$C111:$CD111,))-SUM($CE111:$CM111)</f>
        <v>0</v>
      </c>
      <c r="CO111" s="437">
        <f t="shared" si="3"/>
        <v>0</v>
      </c>
      <c r="CP111" s="438">
        <f ca="1">ROUND(CO111*'1、课程目标与考核方式'!$H$13/100+IF(ISERROR(VLOOKUP(A111,'4、平时成绩'!$A$2:$H$201,8,FALSE)),0,VLOOKUP(A111,'4、平时成绩'!$A$2:$H$201,8,FALSE)),0)</f>
        <v>0</v>
      </c>
    </row>
    <row r="112" s="32" customFormat="1" spans="1:94">
      <c r="A112" s="440"/>
      <c r="B112" s="440"/>
      <c r="C112" s="441"/>
      <c r="D112" s="436"/>
      <c r="E112" s="436"/>
      <c r="F112" s="436"/>
      <c r="G112" s="436"/>
      <c r="H112" s="436"/>
      <c r="I112" s="436"/>
      <c r="J112" s="436"/>
      <c r="K112" s="436"/>
      <c r="L112" s="436"/>
      <c r="M112" s="436"/>
      <c r="N112" s="436"/>
      <c r="O112" s="436"/>
      <c r="P112" s="436"/>
      <c r="Q112" s="436"/>
      <c r="R112" s="436"/>
      <c r="S112" s="436"/>
      <c r="T112" s="436"/>
      <c r="U112" s="436"/>
      <c r="V112" s="436"/>
      <c r="W112" s="436"/>
      <c r="X112" s="436"/>
      <c r="Y112" s="436"/>
      <c r="Z112" s="436"/>
      <c r="AA112" s="436"/>
      <c r="AB112" s="436"/>
      <c r="AC112" s="436"/>
      <c r="AD112" s="436"/>
      <c r="AE112" s="436"/>
      <c r="AF112" s="436"/>
      <c r="AG112" s="436"/>
      <c r="AH112" s="436"/>
      <c r="AI112" s="436"/>
      <c r="AJ112" s="436"/>
      <c r="AK112" s="436"/>
      <c r="AL112" s="436"/>
      <c r="AM112" s="436"/>
      <c r="AN112" s="436"/>
      <c r="AO112" s="436"/>
      <c r="AP112" s="436"/>
      <c r="AQ112" s="436"/>
      <c r="AR112" s="436"/>
      <c r="AS112" s="436"/>
      <c r="AT112" s="436"/>
      <c r="AU112" s="436"/>
      <c r="AV112" s="436"/>
      <c r="AW112" s="436"/>
      <c r="AX112" s="436"/>
      <c r="AY112" s="436"/>
      <c r="AZ112" s="436"/>
      <c r="BA112" s="436"/>
      <c r="BB112" s="436"/>
      <c r="BC112" s="436"/>
      <c r="BD112" s="436"/>
      <c r="BE112" s="436"/>
      <c r="BF112" s="436"/>
      <c r="BG112" s="436"/>
      <c r="BH112" s="436"/>
      <c r="BI112" s="436"/>
      <c r="BJ112" s="436"/>
      <c r="BK112" s="436"/>
      <c r="BL112" s="436"/>
      <c r="BM112" s="436"/>
      <c r="BN112" s="436"/>
      <c r="BO112" s="436"/>
      <c r="BP112" s="436"/>
      <c r="BQ112" s="436"/>
      <c r="BR112" s="436"/>
      <c r="BS112" s="436"/>
      <c r="BT112" s="436"/>
      <c r="BU112" s="436"/>
      <c r="BV112" s="436"/>
      <c r="BW112" s="436"/>
      <c r="BX112" s="436"/>
      <c r="BY112" s="436"/>
      <c r="BZ112" s="436"/>
      <c r="CA112" s="436"/>
      <c r="CB112" s="436"/>
      <c r="CC112" s="436"/>
      <c r="CD112" s="436"/>
      <c r="CE112" s="437">
        <f>SUM(IF(COLUMN($C112:$CD112)&lt;(3+'2、试卷（期末）'!$B$2),$C112:$CD112,))</f>
        <v>0</v>
      </c>
      <c r="CF112" s="437">
        <f>SUM(IF(COLUMN($C112:$CD112)&lt;(3+SUM('2、试卷（期末）'!$B$2:$B$3)),$C112:$CD112,))-$CE112</f>
        <v>0</v>
      </c>
      <c r="CG112" s="437">
        <f>SUM(IF(COLUMN($C112:$CD112)&lt;(3+SUM('2、试卷（期末）'!$B$2:$B$4)),$C112:$CD112,))-SUM($CE112:$CF112)</f>
        <v>0</v>
      </c>
      <c r="CH112" s="437">
        <f>SUM(IF(COLUMN($C112:$CD112)&lt;(3+SUM('2、试卷（期末）'!$B$2:$B$5)),$C112:$CD112,))-SUM($CE112:$CG112)</f>
        <v>0</v>
      </c>
      <c r="CI112" s="437">
        <f>SUM(IF(COLUMN($C112:$CD112)&lt;(3+SUM('2、试卷（期末）'!$B$2:$B$6)),$C112:$CD112,))-SUM($CE112:$CH112)</f>
        <v>0</v>
      </c>
      <c r="CJ112" s="437">
        <f>SUM(IF(COLUMN($C112:$CD112)&lt;(3+SUM('2、试卷（期末）'!$B$2:$B$7)),$C112:$CD112,))-SUM($CE112:$CI112)</f>
        <v>0</v>
      </c>
      <c r="CK112" s="437">
        <f>SUM(IF(COLUMN($C112:$CD112)&lt;(3+SUM('2、试卷（期末）'!$B$2:$B$8)),$C112:$CD112,))-SUM($CE112:$CJ112)</f>
        <v>0</v>
      </c>
      <c r="CL112" s="437">
        <f>SUM(IF(COLUMN($C112:$CD112)&lt;(3+SUM('2、试卷（期末）'!$B$2:$B$9)),$C112:$CD112,))-SUM($CE112:$CK112)</f>
        <v>0</v>
      </c>
      <c r="CM112" s="437">
        <f>SUM(IF(COLUMN($C112:$CD112)&lt;(3+SUM('2、试卷（期末）'!$B$2:$B$10)),$C112:$CD112,))-SUM($CE112:$CL112)</f>
        <v>0</v>
      </c>
      <c r="CN112" s="437">
        <f>SUM(IF(COLUMN($C112:$CD112)&lt;(3+SUM('2、试卷（期末）'!$B$2:$B$11)),$C112:$CD112,))-SUM($CE112:$CM112)</f>
        <v>0</v>
      </c>
      <c r="CO112" s="437">
        <f t="shared" si="3"/>
        <v>0</v>
      </c>
      <c r="CP112" s="438">
        <f ca="1">ROUND(CO112*'1、课程目标与考核方式'!$H$13/100+IF(ISERROR(VLOOKUP(A112,'4、平时成绩'!$A$2:$H$201,8,FALSE)),0,VLOOKUP(A112,'4、平时成绩'!$A$2:$H$201,8,FALSE)),0)</f>
        <v>0</v>
      </c>
    </row>
    <row r="113" s="32" customFormat="1" spans="1:94">
      <c r="A113" s="440"/>
      <c r="B113" s="440"/>
      <c r="C113" s="441"/>
      <c r="D113" s="436"/>
      <c r="E113" s="436"/>
      <c r="F113" s="436"/>
      <c r="G113" s="436"/>
      <c r="H113" s="436"/>
      <c r="I113" s="436"/>
      <c r="J113" s="436"/>
      <c r="K113" s="436"/>
      <c r="L113" s="436"/>
      <c r="M113" s="436"/>
      <c r="N113" s="436"/>
      <c r="O113" s="436"/>
      <c r="P113" s="436"/>
      <c r="Q113" s="436"/>
      <c r="R113" s="436"/>
      <c r="S113" s="436"/>
      <c r="T113" s="436"/>
      <c r="U113" s="436"/>
      <c r="V113" s="436"/>
      <c r="W113" s="436"/>
      <c r="X113" s="436"/>
      <c r="Y113" s="436"/>
      <c r="Z113" s="436"/>
      <c r="AA113" s="436"/>
      <c r="AB113" s="436"/>
      <c r="AC113" s="436"/>
      <c r="AD113" s="436"/>
      <c r="AE113" s="436"/>
      <c r="AF113" s="436"/>
      <c r="AG113" s="436"/>
      <c r="AH113" s="436"/>
      <c r="AI113" s="436"/>
      <c r="AJ113" s="436"/>
      <c r="AK113" s="436"/>
      <c r="AL113" s="436"/>
      <c r="AM113" s="436"/>
      <c r="AN113" s="436"/>
      <c r="AO113" s="436"/>
      <c r="AP113" s="436"/>
      <c r="AQ113" s="436"/>
      <c r="AR113" s="436"/>
      <c r="AS113" s="436"/>
      <c r="AT113" s="436"/>
      <c r="AU113" s="436"/>
      <c r="AV113" s="436"/>
      <c r="AW113" s="436"/>
      <c r="AX113" s="436"/>
      <c r="AY113" s="436"/>
      <c r="AZ113" s="436"/>
      <c r="BA113" s="436"/>
      <c r="BB113" s="436"/>
      <c r="BC113" s="436"/>
      <c r="BD113" s="436"/>
      <c r="BE113" s="436"/>
      <c r="BF113" s="436"/>
      <c r="BG113" s="436"/>
      <c r="BH113" s="436"/>
      <c r="BI113" s="436"/>
      <c r="BJ113" s="436"/>
      <c r="BK113" s="436"/>
      <c r="BL113" s="436"/>
      <c r="BM113" s="436"/>
      <c r="BN113" s="436"/>
      <c r="BO113" s="436"/>
      <c r="BP113" s="436"/>
      <c r="BQ113" s="436"/>
      <c r="BR113" s="436"/>
      <c r="BS113" s="436"/>
      <c r="BT113" s="436"/>
      <c r="BU113" s="436"/>
      <c r="BV113" s="436"/>
      <c r="BW113" s="436"/>
      <c r="BX113" s="436"/>
      <c r="BY113" s="436"/>
      <c r="BZ113" s="436"/>
      <c r="CA113" s="436"/>
      <c r="CB113" s="436"/>
      <c r="CC113" s="436"/>
      <c r="CD113" s="436"/>
      <c r="CE113" s="437">
        <f>SUM(IF(COLUMN($C113:$CD113)&lt;(3+'2、试卷（期末）'!$B$2),$C113:$CD113,))</f>
        <v>0</v>
      </c>
      <c r="CF113" s="437">
        <f>SUM(IF(COLUMN($C113:$CD113)&lt;(3+SUM('2、试卷（期末）'!$B$2:$B$3)),$C113:$CD113,))-$CE113</f>
        <v>0</v>
      </c>
      <c r="CG113" s="437">
        <f>SUM(IF(COLUMN($C113:$CD113)&lt;(3+SUM('2、试卷（期末）'!$B$2:$B$4)),$C113:$CD113,))-SUM($CE113:$CF113)</f>
        <v>0</v>
      </c>
      <c r="CH113" s="437">
        <f>SUM(IF(COLUMN($C113:$CD113)&lt;(3+SUM('2、试卷（期末）'!$B$2:$B$5)),$C113:$CD113,))-SUM($CE113:$CG113)</f>
        <v>0</v>
      </c>
      <c r="CI113" s="437">
        <f>SUM(IF(COLUMN($C113:$CD113)&lt;(3+SUM('2、试卷（期末）'!$B$2:$B$6)),$C113:$CD113,))-SUM($CE113:$CH113)</f>
        <v>0</v>
      </c>
      <c r="CJ113" s="437">
        <f>SUM(IF(COLUMN($C113:$CD113)&lt;(3+SUM('2、试卷（期末）'!$B$2:$B$7)),$C113:$CD113,))-SUM($CE113:$CI113)</f>
        <v>0</v>
      </c>
      <c r="CK113" s="437">
        <f>SUM(IF(COLUMN($C113:$CD113)&lt;(3+SUM('2、试卷（期末）'!$B$2:$B$8)),$C113:$CD113,))-SUM($CE113:$CJ113)</f>
        <v>0</v>
      </c>
      <c r="CL113" s="437">
        <f>SUM(IF(COLUMN($C113:$CD113)&lt;(3+SUM('2、试卷（期末）'!$B$2:$B$9)),$C113:$CD113,))-SUM($CE113:$CK113)</f>
        <v>0</v>
      </c>
      <c r="CM113" s="437">
        <f>SUM(IF(COLUMN($C113:$CD113)&lt;(3+SUM('2、试卷（期末）'!$B$2:$B$10)),$C113:$CD113,))-SUM($CE113:$CL113)</f>
        <v>0</v>
      </c>
      <c r="CN113" s="437">
        <f>SUM(IF(COLUMN($C113:$CD113)&lt;(3+SUM('2、试卷（期末）'!$B$2:$B$11)),$C113:$CD113,))-SUM($CE113:$CM113)</f>
        <v>0</v>
      </c>
      <c r="CO113" s="437">
        <f t="shared" si="3"/>
        <v>0</v>
      </c>
      <c r="CP113" s="438">
        <f ca="1">ROUND(CO113*'1、课程目标与考核方式'!$H$13/100+IF(ISERROR(VLOOKUP(A113,'4、平时成绩'!$A$2:$H$201,8,FALSE)),0,VLOOKUP(A113,'4、平时成绩'!$A$2:$H$201,8,FALSE)),0)</f>
        <v>0</v>
      </c>
    </row>
    <row r="114" s="32" customFormat="1" spans="1:94">
      <c r="A114" s="440"/>
      <c r="B114" s="440"/>
      <c r="C114" s="441"/>
      <c r="D114" s="436"/>
      <c r="E114" s="436"/>
      <c r="F114" s="436"/>
      <c r="G114" s="436"/>
      <c r="H114" s="436"/>
      <c r="I114" s="436"/>
      <c r="J114" s="436"/>
      <c r="K114" s="436"/>
      <c r="L114" s="436"/>
      <c r="M114" s="436"/>
      <c r="N114" s="436"/>
      <c r="O114" s="436"/>
      <c r="P114" s="436"/>
      <c r="Q114" s="436"/>
      <c r="R114" s="436"/>
      <c r="S114" s="436"/>
      <c r="T114" s="436"/>
      <c r="U114" s="436"/>
      <c r="V114" s="436"/>
      <c r="W114" s="436"/>
      <c r="X114" s="436"/>
      <c r="Y114" s="436"/>
      <c r="Z114" s="436"/>
      <c r="AA114" s="436"/>
      <c r="AB114" s="436"/>
      <c r="AC114" s="436"/>
      <c r="AD114" s="436"/>
      <c r="AE114" s="436"/>
      <c r="AF114" s="436"/>
      <c r="AG114" s="436"/>
      <c r="AH114" s="436"/>
      <c r="AI114" s="436"/>
      <c r="AJ114" s="436"/>
      <c r="AK114" s="436"/>
      <c r="AL114" s="436"/>
      <c r="AM114" s="436"/>
      <c r="AN114" s="436"/>
      <c r="AO114" s="436"/>
      <c r="AP114" s="436"/>
      <c r="AQ114" s="436"/>
      <c r="AR114" s="436"/>
      <c r="AS114" s="436"/>
      <c r="AT114" s="436"/>
      <c r="AU114" s="436"/>
      <c r="AV114" s="436"/>
      <c r="AW114" s="436"/>
      <c r="AX114" s="436"/>
      <c r="AY114" s="436"/>
      <c r="AZ114" s="436"/>
      <c r="BA114" s="436"/>
      <c r="BB114" s="436"/>
      <c r="BC114" s="436"/>
      <c r="BD114" s="436"/>
      <c r="BE114" s="436"/>
      <c r="BF114" s="436"/>
      <c r="BG114" s="436"/>
      <c r="BH114" s="436"/>
      <c r="BI114" s="436"/>
      <c r="BJ114" s="436"/>
      <c r="BK114" s="436"/>
      <c r="BL114" s="436"/>
      <c r="BM114" s="436"/>
      <c r="BN114" s="436"/>
      <c r="BO114" s="436"/>
      <c r="BP114" s="436"/>
      <c r="BQ114" s="436"/>
      <c r="BR114" s="436"/>
      <c r="BS114" s="436"/>
      <c r="BT114" s="436"/>
      <c r="BU114" s="436"/>
      <c r="BV114" s="436"/>
      <c r="BW114" s="436"/>
      <c r="BX114" s="436"/>
      <c r="BY114" s="436"/>
      <c r="BZ114" s="436"/>
      <c r="CA114" s="436"/>
      <c r="CB114" s="436"/>
      <c r="CC114" s="436"/>
      <c r="CD114" s="436"/>
      <c r="CE114" s="437">
        <f>SUM(IF(COLUMN($C114:$CD114)&lt;(3+'2、试卷（期末）'!$B$2),$C114:$CD114,))</f>
        <v>0</v>
      </c>
      <c r="CF114" s="437">
        <f>SUM(IF(COLUMN($C114:$CD114)&lt;(3+SUM('2、试卷（期末）'!$B$2:$B$3)),$C114:$CD114,))-$CE114</f>
        <v>0</v>
      </c>
      <c r="CG114" s="437">
        <f>SUM(IF(COLUMN($C114:$CD114)&lt;(3+SUM('2、试卷（期末）'!$B$2:$B$4)),$C114:$CD114,))-SUM($CE114:$CF114)</f>
        <v>0</v>
      </c>
      <c r="CH114" s="437">
        <f>SUM(IF(COLUMN($C114:$CD114)&lt;(3+SUM('2、试卷（期末）'!$B$2:$B$5)),$C114:$CD114,))-SUM($CE114:$CG114)</f>
        <v>0</v>
      </c>
      <c r="CI114" s="437">
        <f>SUM(IF(COLUMN($C114:$CD114)&lt;(3+SUM('2、试卷（期末）'!$B$2:$B$6)),$C114:$CD114,))-SUM($CE114:$CH114)</f>
        <v>0</v>
      </c>
      <c r="CJ114" s="437">
        <f>SUM(IF(COLUMN($C114:$CD114)&lt;(3+SUM('2、试卷（期末）'!$B$2:$B$7)),$C114:$CD114,))-SUM($CE114:$CI114)</f>
        <v>0</v>
      </c>
      <c r="CK114" s="437">
        <f>SUM(IF(COLUMN($C114:$CD114)&lt;(3+SUM('2、试卷（期末）'!$B$2:$B$8)),$C114:$CD114,))-SUM($CE114:$CJ114)</f>
        <v>0</v>
      </c>
      <c r="CL114" s="437">
        <f>SUM(IF(COLUMN($C114:$CD114)&lt;(3+SUM('2、试卷（期末）'!$B$2:$B$9)),$C114:$CD114,))-SUM($CE114:$CK114)</f>
        <v>0</v>
      </c>
      <c r="CM114" s="437">
        <f>SUM(IF(COLUMN($C114:$CD114)&lt;(3+SUM('2、试卷（期末）'!$B$2:$B$10)),$C114:$CD114,))-SUM($CE114:$CL114)</f>
        <v>0</v>
      </c>
      <c r="CN114" s="437">
        <f>SUM(IF(COLUMN($C114:$CD114)&lt;(3+SUM('2、试卷（期末）'!$B$2:$B$11)),$C114:$CD114,))-SUM($CE114:$CM114)</f>
        <v>0</v>
      </c>
      <c r="CO114" s="437">
        <f t="shared" si="3"/>
        <v>0</v>
      </c>
      <c r="CP114" s="438">
        <f ca="1">ROUND(CO114*'1、课程目标与考核方式'!$H$13/100+IF(ISERROR(VLOOKUP(A114,'4、平时成绩'!$A$2:$H$201,8,FALSE)),0,VLOOKUP(A114,'4、平时成绩'!$A$2:$H$201,8,FALSE)),0)</f>
        <v>0</v>
      </c>
    </row>
    <row r="115" s="32" customFormat="1" spans="1:94">
      <c r="A115" s="440"/>
      <c r="B115" s="440"/>
      <c r="C115" s="441"/>
      <c r="D115" s="436"/>
      <c r="E115" s="436"/>
      <c r="F115" s="436"/>
      <c r="G115" s="436"/>
      <c r="H115" s="436"/>
      <c r="I115" s="436"/>
      <c r="J115" s="436"/>
      <c r="K115" s="436"/>
      <c r="L115" s="436"/>
      <c r="M115" s="436"/>
      <c r="N115" s="436"/>
      <c r="O115" s="436"/>
      <c r="P115" s="436"/>
      <c r="Q115" s="436"/>
      <c r="R115" s="436"/>
      <c r="S115" s="436"/>
      <c r="T115" s="436"/>
      <c r="U115" s="436"/>
      <c r="V115" s="436"/>
      <c r="W115" s="436"/>
      <c r="X115" s="436"/>
      <c r="Y115" s="436"/>
      <c r="Z115" s="436"/>
      <c r="AA115" s="436"/>
      <c r="AB115" s="436"/>
      <c r="AC115" s="436"/>
      <c r="AD115" s="436"/>
      <c r="AE115" s="436"/>
      <c r="AF115" s="436"/>
      <c r="AG115" s="436"/>
      <c r="AH115" s="436"/>
      <c r="AI115" s="436"/>
      <c r="AJ115" s="436"/>
      <c r="AK115" s="436"/>
      <c r="AL115" s="436"/>
      <c r="AM115" s="436"/>
      <c r="AN115" s="436"/>
      <c r="AO115" s="436"/>
      <c r="AP115" s="436"/>
      <c r="AQ115" s="436"/>
      <c r="AR115" s="436"/>
      <c r="AS115" s="436"/>
      <c r="AT115" s="436"/>
      <c r="AU115" s="436"/>
      <c r="AV115" s="436"/>
      <c r="AW115" s="436"/>
      <c r="AX115" s="436"/>
      <c r="AY115" s="436"/>
      <c r="AZ115" s="436"/>
      <c r="BA115" s="436"/>
      <c r="BB115" s="436"/>
      <c r="BC115" s="436"/>
      <c r="BD115" s="436"/>
      <c r="BE115" s="436"/>
      <c r="BF115" s="436"/>
      <c r="BG115" s="436"/>
      <c r="BH115" s="436"/>
      <c r="BI115" s="436"/>
      <c r="BJ115" s="436"/>
      <c r="BK115" s="436"/>
      <c r="BL115" s="436"/>
      <c r="BM115" s="436"/>
      <c r="BN115" s="436"/>
      <c r="BO115" s="436"/>
      <c r="BP115" s="436"/>
      <c r="BQ115" s="436"/>
      <c r="BR115" s="436"/>
      <c r="BS115" s="436"/>
      <c r="BT115" s="436"/>
      <c r="BU115" s="436"/>
      <c r="BV115" s="436"/>
      <c r="BW115" s="436"/>
      <c r="BX115" s="436"/>
      <c r="BY115" s="436"/>
      <c r="BZ115" s="436"/>
      <c r="CA115" s="436"/>
      <c r="CB115" s="436"/>
      <c r="CC115" s="436"/>
      <c r="CD115" s="436"/>
      <c r="CE115" s="437">
        <f>SUM(IF(COLUMN($C115:$CD115)&lt;(3+'2、试卷（期末）'!$B$2),$C115:$CD115,))</f>
        <v>0</v>
      </c>
      <c r="CF115" s="437">
        <f>SUM(IF(COLUMN($C115:$CD115)&lt;(3+SUM('2、试卷（期末）'!$B$2:$B$3)),$C115:$CD115,))-$CE115</f>
        <v>0</v>
      </c>
      <c r="CG115" s="437">
        <f>SUM(IF(COLUMN($C115:$CD115)&lt;(3+SUM('2、试卷（期末）'!$B$2:$B$4)),$C115:$CD115,))-SUM($CE115:$CF115)</f>
        <v>0</v>
      </c>
      <c r="CH115" s="437">
        <f>SUM(IF(COLUMN($C115:$CD115)&lt;(3+SUM('2、试卷（期末）'!$B$2:$B$5)),$C115:$CD115,))-SUM($CE115:$CG115)</f>
        <v>0</v>
      </c>
      <c r="CI115" s="437">
        <f>SUM(IF(COLUMN($C115:$CD115)&lt;(3+SUM('2、试卷（期末）'!$B$2:$B$6)),$C115:$CD115,))-SUM($CE115:$CH115)</f>
        <v>0</v>
      </c>
      <c r="CJ115" s="437">
        <f>SUM(IF(COLUMN($C115:$CD115)&lt;(3+SUM('2、试卷（期末）'!$B$2:$B$7)),$C115:$CD115,))-SUM($CE115:$CI115)</f>
        <v>0</v>
      </c>
      <c r="CK115" s="437">
        <f>SUM(IF(COLUMN($C115:$CD115)&lt;(3+SUM('2、试卷（期末）'!$B$2:$B$8)),$C115:$CD115,))-SUM($CE115:$CJ115)</f>
        <v>0</v>
      </c>
      <c r="CL115" s="437">
        <f>SUM(IF(COLUMN($C115:$CD115)&lt;(3+SUM('2、试卷（期末）'!$B$2:$B$9)),$C115:$CD115,))-SUM($CE115:$CK115)</f>
        <v>0</v>
      </c>
      <c r="CM115" s="437">
        <f>SUM(IF(COLUMN($C115:$CD115)&lt;(3+SUM('2、试卷（期末）'!$B$2:$B$10)),$C115:$CD115,))-SUM($CE115:$CL115)</f>
        <v>0</v>
      </c>
      <c r="CN115" s="437">
        <f>SUM(IF(COLUMN($C115:$CD115)&lt;(3+SUM('2、试卷（期末）'!$B$2:$B$11)),$C115:$CD115,))-SUM($CE115:$CM115)</f>
        <v>0</v>
      </c>
      <c r="CO115" s="437">
        <f t="shared" si="3"/>
        <v>0</v>
      </c>
      <c r="CP115" s="438">
        <f ca="1">ROUND(CO115*'1、课程目标与考核方式'!$H$13/100+IF(ISERROR(VLOOKUP(A115,'4、平时成绩'!$A$2:$H$201,8,FALSE)),0,VLOOKUP(A115,'4、平时成绩'!$A$2:$H$201,8,FALSE)),0)</f>
        <v>0</v>
      </c>
    </row>
    <row r="116" s="32" customFormat="1" spans="1:94">
      <c r="A116" s="440"/>
      <c r="B116" s="440"/>
      <c r="C116" s="441"/>
      <c r="D116" s="436"/>
      <c r="E116" s="436"/>
      <c r="F116" s="436"/>
      <c r="G116" s="436"/>
      <c r="H116" s="436"/>
      <c r="I116" s="436"/>
      <c r="J116" s="436"/>
      <c r="K116" s="436"/>
      <c r="L116" s="436"/>
      <c r="M116" s="436"/>
      <c r="N116" s="436"/>
      <c r="O116" s="436"/>
      <c r="P116" s="436"/>
      <c r="Q116" s="436"/>
      <c r="R116" s="436"/>
      <c r="S116" s="436"/>
      <c r="T116" s="436"/>
      <c r="U116" s="436"/>
      <c r="V116" s="436"/>
      <c r="W116" s="436"/>
      <c r="X116" s="436"/>
      <c r="Y116" s="436"/>
      <c r="Z116" s="436"/>
      <c r="AA116" s="436"/>
      <c r="AB116" s="436"/>
      <c r="AC116" s="436"/>
      <c r="AD116" s="436"/>
      <c r="AE116" s="436"/>
      <c r="AF116" s="436"/>
      <c r="AG116" s="436"/>
      <c r="AH116" s="436"/>
      <c r="AI116" s="436"/>
      <c r="AJ116" s="436"/>
      <c r="AK116" s="436"/>
      <c r="AL116" s="436"/>
      <c r="AM116" s="436"/>
      <c r="AN116" s="436"/>
      <c r="AO116" s="436"/>
      <c r="AP116" s="436"/>
      <c r="AQ116" s="436"/>
      <c r="AR116" s="436"/>
      <c r="AS116" s="436"/>
      <c r="AT116" s="436"/>
      <c r="AU116" s="436"/>
      <c r="AV116" s="436"/>
      <c r="AW116" s="436"/>
      <c r="AX116" s="436"/>
      <c r="AY116" s="436"/>
      <c r="AZ116" s="436"/>
      <c r="BA116" s="436"/>
      <c r="BB116" s="436"/>
      <c r="BC116" s="436"/>
      <c r="BD116" s="436"/>
      <c r="BE116" s="436"/>
      <c r="BF116" s="436"/>
      <c r="BG116" s="436"/>
      <c r="BH116" s="436"/>
      <c r="BI116" s="436"/>
      <c r="BJ116" s="436"/>
      <c r="BK116" s="436"/>
      <c r="BL116" s="436"/>
      <c r="BM116" s="436"/>
      <c r="BN116" s="436"/>
      <c r="BO116" s="436"/>
      <c r="BP116" s="436"/>
      <c r="BQ116" s="436"/>
      <c r="BR116" s="436"/>
      <c r="BS116" s="436"/>
      <c r="BT116" s="436"/>
      <c r="BU116" s="436"/>
      <c r="BV116" s="436"/>
      <c r="BW116" s="436"/>
      <c r="BX116" s="436"/>
      <c r="BY116" s="436"/>
      <c r="BZ116" s="436"/>
      <c r="CA116" s="436"/>
      <c r="CB116" s="436"/>
      <c r="CC116" s="436"/>
      <c r="CD116" s="436"/>
      <c r="CE116" s="437">
        <f>SUM(IF(COLUMN($C116:$CD116)&lt;(3+'2、试卷（期末）'!$B$2),$C116:$CD116,))</f>
        <v>0</v>
      </c>
      <c r="CF116" s="437">
        <f>SUM(IF(COLUMN($C116:$CD116)&lt;(3+SUM('2、试卷（期末）'!$B$2:$B$3)),$C116:$CD116,))-$CE116</f>
        <v>0</v>
      </c>
      <c r="CG116" s="437">
        <f>SUM(IF(COLUMN($C116:$CD116)&lt;(3+SUM('2、试卷（期末）'!$B$2:$B$4)),$C116:$CD116,))-SUM($CE116:$CF116)</f>
        <v>0</v>
      </c>
      <c r="CH116" s="437">
        <f>SUM(IF(COLUMN($C116:$CD116)&lt;(3+SUM('2、试卷（期末）'!$B$2:$B$5)),$C116:$CD116,))-SUM($CE116:$CG116)</f>
        <v>0</v>
      </c>
      <c r="CI116" s="437">
        <f>SUM(IF(COLUMN($C116:$CD116)&lt;(3+SUM('2、试卷（期末）'!$B$2:$B$6)),$C116:$CD116,))-SUM($CE116:$CH116)</f>
        <v>0</v>
      </c>
      <c r="CJ116" s="437">
        <f>SUM(IF(COLUMN($C116:$CD116)&lt;(3+SUM('2、试卷（期末）'!$B$2:$B$7)),$C116:$CD116,))-SUM($CE116:$CI116)</f>
        <v>0</v>
      </c>
      <c r="CK116" s="437">
        <f>SUM(IF(COLUMN($C116:$CD116)&lt;(3+SUM('2、试卷（期末）'!$B$2:$B$8)),$C116:$CD116,))-SUM($CE116:$CJ116)</f>
        <v>0</v>
      </c>
      <c r="CL116" s="437">
        <f>SUM(IF(COLUMN($C116:$CD116)&lt;(3+SUM('2、试卷（期末）'!$B$2:$B$9)),$C116:$CD116,))-SUM($CE116:$CK116)</f>
        <v>0</v>
      </c>
      <c r="CM116" s="437">
        <f>SUM(IF(COLUMN($C116:$CD116)&lt;(3+SUM('2、试卷（期末）'!$B$2:$B$10)),$C116:$CD116,))-SUM($CE116:$CL116)</f>
        <v>0</v>
      </c>
      <c r="CN116" s="437">
        <f>SUM(IF(COLUMN($C116:$CD116)&lt;(3+SUM('2、试卷（期末）'!$B$2:$B$11)),$C116:$CD116,))-SUM($CE116:$CM116)</f>
        <v>0</v>
      </c>
      <c r="CO116" s="437">
        <f t="shared" si="3"/>
        <v>0</v>
      </c>
      <c r="CP116" s="438">
        <f ca="1">ROUND(CO116*'1、课程目标与考核方式'!$H$13/100+IF(ISERROR(VLOOKUP(A116,'4、平时成绩'!$A$2:$H$201,8,FALSE)),0,VLOOKUP(A116,'4、平时成绩'!$A$2:$H$201,8,FALSE)),0)</f>
        <v>0</v>
      </c>
    </row>
    <row r="117" s="32" customFormat="1" spans="1:94">
      <c r="A117" s="440"/>
      <c r="B117" s="440"/>
      <c r="C117" s="441"/>
      <c r="D117" s="436"/>
      <c r="E117" s="436"/>
      <c r="F117" s="436"/>
      <c r="G117" s="436"/>
      <c r="H117" s="436"/>
      <c r="I117" s="436"/>
      <c r="J117" s="436"/>
      <c r="K117" s="436"/>
      <c r="L117" s="436"/>
      <c r="M117" s="436"/>
      <c r="N117" s="436"/>
      <c r="O117" s="436"/>
      <c r="P117" s="436"/>
      <c r="Q117" s="436"/>
      <c r="R117" s="436"/>
      <c r="S117" s="436"/>
      <c r="T117" s="436"/>
      <c r="U117" s="436"/>
      <c r="V117" s="436"/>
      <c r="W117" s="436"/>
      <c r="X117" s="436"/>
      <c r="Y117" s="436"/>
      <c r="Z117" s="436"/>
      <c r="AA117" s="436"/>
      <c r="AB117" s="436"/>
      <c r="AC117" s="436"/>
      <c r="AD117" s="436"/>
      <c r="AE117" s="436"/>
      <c r="AF117" s="436"/>
      <c r="AG117" s="436"/>
      <c r="AH117" s="436"/>
      <c r="AI117" s="436"/>
      <c r="AJ117" s="436"/>
      <c r="AK117" s="436"/>
      <c r="AL117" s="436"/>
      <c r="AM117" s="436"/>
      <c r="AN117" s="436"/>
      <c r="AO117" s="436"/>
      <c r="AP117" s="436"/>
      <c r="AQ117" s="436"/>
      <c r="AR117" s="436"/>
      <c r="AS117" s="436"/>
      <c r="AT117" s="436"/>
      <c r="AU117" s="436"/>
      <c r="AV117" s="436"/>
      <c r="AW117" s="436"/>
      <c r="AX117" s="436"/>
      <c r="AY117" s="436"/>
      <c r="AZ117" s="436"/>
      <c r="BA117" s="436"/>
      <c r="BB117" s="436"/>
      <c r="BC117" s="436"/>
      <c r="BD117" s="436"/>
      <c r="BE117" s="436"/>
      <c r="BF117" s="436"/>
      <c r="BG117" s="436"/>
      <c r="BH117" s="436"/>
      <c r="BI117" s="436"/>
      <c r="BJ117" s="436"/>
      <c r="BK117" s="436"/>
      <c r="BL117" s="436"/>
      <c r="BM117" s="436"/>
      <c r="BN117" s="436"/>
      <c r="BO117" s="436"/>
      <c r="BP117" s="436"/>
      <c r="BQ117" s="436"/>
      <c r="BR117" s="436"/>
      <c r="BS117" s="436"/>
      <c r="BT117" s="436"/>
      <c r="BU117" s="436"/>
      <c r="BV117" s="436"/>
      <c r="BW117" s="436"/>
      <c r="BX117" s="436"/>
      <c r="BY117" s="436"/>
      <c r="BZ117" s="436"/>
      <c r="CA117" s="436"/>
      <c r="CB117" s="436"/>
      <c r="CC117" s="436"/>
      <c r="CD117" s="436"/>
      <c r="CE117" s="437">
        <f>SUM(IF(COLUMN($C117:$CD117)&lt;(3+'2、试卷（期末）'!$B$2),$C117:$CD117,))</f>
        <v>0</v>
      </c>
      <c r="CF117" s="437">
        <f>SUM(IF(COLUMN($C117:$CD117)&lt;(3+SUM('2、试卷（期末）'!$B$2:$B$3)),$C117:$CD117,))-$CE117</f>
        <v>0</v>
      </c>
      <c r="CG117" s="437">
        <f>SUM(IF(COLUMN($C117:$CD117)&lt;(3+SUM('2、试卷（期末）'!$B$2:$B$4)),$C117:$CD117,))-SUM($CE117:$CF117)</f>
        <v>0</v>
      </c>
      <c r="CH117" s="437">
        <f>SUM(IF(COLUMN($C117:$CD117)&lt;(3+SUM('2、试卷（期末）'!$B$2:$B$5)),$C117:$CD117,))-SUM($CE117:$CG117)</f>
        <v>0</v>
      </c>
      <c r="CI117" s="437">
        <f>SUM(IF(COLUMN($C117:$CD117)&lt;(3+SUM('2、试卷（期末）'!$B$2:$B$6)),$C117:$CD117,))-SUM($CE117:$CH117)</f>
        <v>0</v>
      </c>
      <c r="CJ117" s="437">
        <f>SUM(IF(COLUMN($C117:$CD117)&lt;(3+SUM('2、试卷（期末）'!$B$2:$B$7)),$C117:$CD117,))-SUM($CE117:$CI117)</f>
        <v>0</v>
      </c>
      <c r="CK117" s="437">
        <f>SUM(IF(COLUMN($C117:$CD117)&lt;(3+SUM('2、试卷（期末）'!$B$2:$B$8)),$C117:$CD117,))-SUM($CE117:$CJ117)</f>
        <v>0</v>
      </c>
      <c r="CL117" s="437">
        <f>SUM(IF(COLUMN($C117:$CD117)&lt;(3+SUM('2、试卷（期末）'!$B$2:$B$9)),$C117:$CD117,))-SUM($CE117:$CK117)</f>
        <v>0</v>
      </c>
      <c r="CM117" s="437">
        <f>SUM(IF(COLUMN($C117:$CD117)&lt;(3+SUM('2、试卷（期末）'!$B$2:$B$10)),$C117:$CD117,))-SUM($CE117:$CL117)</f>
        <v>0</v>
      </c>
      <c r="CN117" s="437">
        <f>SUM(IF(COLUMN($C117:$CD117)&lt;(3+SUM('2、试卷（期末）'!$B$2:$B$11)),$C117:$CD117,))-SUM($CE117:$CM117)</f>
        <v>0</v>
      </c>
      <c r="CO117" s="437">
        <f t="shared" si="3"/>
        <v>0</v>
      </c>
      <c r="CP117" s="438">
        <f ca="1">ROUND(CO117*'1、课程目标与考核方式'!$H$13/100+IF(ISERROR(VLOOKUP(A117,'4、平时成绩'!$A$2:$H$201,8,FALSE)),0,VLOOKUP(A117,'4、平时成绩'!$A$2:$H$201,8,FALSE)),0)</f>
        <v>0</v>
      </c>
    </row>
    <row r="118" s="32" customFormat="1" spans="1:94">
      <c r="A118" s="440"/>
      <c r="B118" s="440"/>
      <c r="C118" s="441"/>
      <c r="D118" s="436"/>
      <c r="E118" s="436"/>
      <c r="F118" s="436"/>
      <c r="G118" s="436"/>
      <c r="H118" s="436"/>
      <c r="I118" s="436"/>
      <c r="J118" s="436"/>
      <c r="K118" s="436"/>
      <c r="L118" s="436"/>
      <c r="M118" s="436"/>
      <c r="N118" s="436"/>
      <c r="O118" s="436"/>
      <c r="P118" s="436"/>
      <c r="Q118" s="436"/>
      <c r="R118" s="436"/>
      <c r="S118" s="436"/>
      <c r="T118" s="436"/>
      <c r="U118" s="436"/>
      <c r="V118" s="436"/>
      <c r="W118" s="436"/>
      <c r="X118" s="436"/>
      <c r="Y118" s="436"/>
      <c r="Z118" s="436"/>
      <c r="AA118" s="436"/>
      <c r="AB118" s="436"/>
      <c r="AC118" s="436"/>
      <c r="AD118" s="436"/>
      <c r="AE118" s="436"/>
      <c r="AF118" s="436"/>
      <c r="AG118" s="436"/>
      <c r="AH118" s="436"/>
      <c r="AI118" s="436"/>
      <c r="AJ118" s="436"/>
      <c r="AK118" s="436"/>
      <c r="AL118" s="436"/>
      <c r="AM118" s="436"/>
      <c r="AN118" s="436"/>
      <c r="AO118" s="436"/>
      <c r="AP118" s="436"/>
      <c r="AQ118" s="436"/>
      <c r="AR118" s="436"/>
      <c r="AS118" s="436"/>
      <c r="AT118" s="436"/>
      <c r="AU118" s="436"/>
      <c r="AV118" s="436"/>
      <c r="AW118" s="436"/>
      <c r="AX118" s="436"/>
      <c r="AY118" s="436"/>
      <c r="AZ118" s="436"/>
      <c r="BA118" s="436"/>
      <c r="BB118" s="436"/>
      <c r="BC118" s="436"/>
      <c r="BD118" s="436"/>
      <c r="BE118" s="436"/>
      <c r="BF118" s="436"/>
      <c r="BG118" s="436"/>
      <c r="BH118" s="436"/>
      <c r="BI118" s="436"/>
      <c r="BJ118" s="436"/>
      <c r="BK118" s="436"/>
      <c r="BL118" s="436"/>
      <c r="BM118" s="436"/>
      <c r="BN118" s="436"/>
      <c r="BO118" s="436"/>
      <c r="BP118" s="436"/>
      <c r="BQ118" s="436"/>
      <c r="BR118" s="436"/>
      <c r="BS118" s="436"/>
      <c r="BT118" s="436"/>
      <c r="BU118" s="436"/>
      <c r="BV118" s="436"/>
      <c r="BW118" s="436"/>
      <c r="BX118" s="436"/>
      <c r="BY118" s="436"/>
      <c r="BZ118" s="436"/>
      <c r="CA118" s="436"/>
      <c r="CB118" s="436"/>
      <c r="CC118" s="436"/>
      <c r="CD118" s="436"/>
      <c r="CE118" s="437">
        <f>SUM(IF(COLUMN($C118:$CD118)&lt;(3+'2、试卷（期末）'!$B$2),$C118:$CD118,))</f>
        <v>0</v>
      </c>
      <c r="CF118" s="437">
        <f>SUM(IF(COLUMN($C118:$CD118)&lt;(3+SUM('2、试卷（期末）'!$B$2:$B$3)),$C118:$CD118,))-$CE118</f>
        <v>0</v>
      </c>
      <c r="CG118" s="437">
        <f>SUM(IF(COLUMN($C118:$CD118)&lt;(3+SUM('2、试卷（期末）'!$B$2:$B$4)),$C118:$CD118,))-SUM($CE118:$CF118)</f>
        <v>0</v>
      </c>
      <c r="CH118" s="437">
        <f>SUM(IF(COLUMN($C118:$CD118)&lt;(3+SUM('2、试卷（期末）'!$B$2:$B$5)),$C118:$CD118,))-SUM($CE118:$CG118)</f>
        <v>0</v>
      </c>
      <c r="CI118" s="437">
        <f>SUM(IF(COLUMN($C118:$CD118)&lt;(3+SUM('2、试卷（期末）'!$B$2:$B$6)),$C118:$CD118,))-SUM($CE118:$CH118)</f>
        <v>0</v>
      </c>
      <c r="CJ118" s="437">
        <f>SUM(IF(COLUMN($C118:$CD118)&lt;(3+SUM('2、试卷（期末）'!$B$2:$B$7)),$C118:$CD118,))-SUM($CE118:$CI118)</f>
        <v>0</v>
      </c>
      <c r="CK118" s="437">
        <f>SUM(IF(COLUMN($C118:$CD118)&lt;(3+SUM('2、试卷（期末）'!$B$2:$B$8)),$C118:$CD118,))-SUM($CE118:$CJ118)</f>
        <v>0</v>
      </c>
      <c r="CL118" s="437">
        <f>SUM(IF(COLUMN($C118:$CD118)&lt;(3+SUM('2、试卷（期末）'!$B$2:$B$9)),$C118:$CD118,))-SUM($CE118:$CK118)</f>
        <v>0</v>
      </c>
      <c r="CM118" s="437">
        <f>SUM(IF(COLUMN($C118:$CD118)&lt;(3+SUM('2、试卷（期末）'!$B$2:$B$10)),$C118:$CD118,))-SUM($CE118:$CL118)</f>
        <v>0</v>
      </c>
      <c r="CN118" s="437">
        <f>SUM(IF(COLUMN($C118:$CD118)&lt;(3+SUM('2、试卷（期末）'!$B$2:$B$11)),$C118:$CD118,))-SUM($CE118:$CM118)</f>
        <v>0</v>
      </c>
      <c r="CO118" s="437">
        <f t="shared" si="3"/>
        <v>0</v>
      </c>
      <c r="CP118" s="438">
        <f ca="1">ROUND(CO118*'1、课程目标与考核方式'!$H$13/100+IF(ISERROR(VLOOKUP(A118,'4、平时成绩'!$A$2:$H$201,8,FALSE)),0,VLOOKUP(A118,'4、平时成绩'!$A$2:$H$201,8,FALSE)),0)</f>
        <v>0</v>
      </c>
    </row>
    <row r="119" s="32" customFormat="1" spans="1:94">
      <c r="A119" s="440"/>
      <c r="B119" s="440"/>
      <c r="C119" s="441"/>
      <c r="D119" s="436"/>
      <c r="E119" s="436"/>
      <c r="F119" s="436"/>
      <c r="G119" s="436"/>
      <c r="H119" s="436"/>
      <c r="I119" s="436"/>
      <c r="J119" s="436"/>
      <c r="K119" s="436"/>
      <c r="L119" s="436"/>
      <c r="M119" s="436"/>
      <c r="N119" s="436"/>
      <c r="O119" s="436"/>
      <c r="P119" s="436"/>
      <c r="Q119" s="436"/>
      <c r="R119" s="436"/>
      <c r="S119" s="436"/>
      <c r="T119" s="436"/>
      <c r="U119" s="436"/>
      <c r="V119" s="436"/>
      <c r="W119" s="436"/>
      <c r="X119" s="436"/>
      <c r="Y119" s="436"/>
      <c r="Z119" s="436"/>
      <c r="AA119" s="436"/>
      <c r="AB119" s="436"/>
      <c r="AC119" s="436"/>
      <c r="AD119" s="436"/>
      <c r="AE119" s="436"/>
      <c r="AF119" s="436"/>
      <c r="AG119" s="436"/>
      <c r="AH119" s="436"/>
      <c r="AI119" s="436"/>
      <c r="AJ119" s="436"/>
      <c r="AK119" s="436"/>
      <c r="AL119" s="436"/>
      <c r="AM119" s="436"/>
      <c r="AN119" s="436"/>
      <c r="AO119" s="436"/>
      <c r="AP119" s="436"/>
      <c r="AQ119" s="436"/>
      <c r="AR119" s="436"/>
      <c r="AS119" s="436"/>
      <c r="AT119" s="436"/>
      <c r="AU119" s="436"/>
      <c r="AV119" s="436"/>
      <c r="AW119" s="436"/>
      <c r="AX119" s="436"/>
      <c r="AY119" s="436"/>
      <c r="AZ119" s="436"/>
      <c r="BA119" s="436"/>
      <c r="BB119" s="436"/>
      <c r="BC119" s="436"/>
      <c r="BD119" s="436"/>
      <c r="BE119" s="436"/>
      <c r="BF119" s="436"/>
      <c r="BG119" s="436"/>
      <c r="BH119" s="436"/>
      <c r="BI119" s="436"/>
      <c r="BJ119" s="436"/>
      <c r="BK119" s="436"/>
      <c r="BL119" s="436"/>
      <c r="BM119" s="436"/>
      <c r="BN119" s="436"/>
      <c r="BO119" s="436"/>
      <c r="BP119" s="436"/>
      <c r="BQ119" s="436"/>
      <c r="BR119" s="436"/>
      <c r="BS119" s="436"/>
      <c r="BT119" s="436"/>
      <c r="BU119" s="436"/>
      <c r="BV119" s="436"/>
      <c r="BW119" s="436"/>
      <c r="BX119" s="436"/>
      <c r="BY119" s="436"/>
      <c r="BZ119" s="436"/>
      <c r="CA119" s="436"/>
      <c r="CB119" s="436"/>
      <c r="CC119" s="436"/>
      <c r="CD119" s="436"/>
      <c r="CE119" s="437">
        <f>SUM(IF(COLUMN($C119:$CD119)&lt;(3+'2、试卷（期末）'!$B$2),$C119:$CD119,))</f>
        <v>0</v>
      </c>
      <c r="CF119" s="437">
        <f>SUM(IF(COLUMN($C119:$CD119)&lt;(3+SUM('2、试卷（期末）'!$B$2:$B$3)),$C119:$CD119,))-$CE119</f>
        <v>0</v>
      </c>
      <c r="CG119" s="437">
        <f>SUM(IF(COLUMN($C119:$CD119)&lt;(3+SUM('2、试卷（期末）'!$B$2:$B$4)),$C119:$CD119,))-SUM($CE119:$CF119)</f>
        <v>0</v>
      </c>
      <c r="CH119" s="437">
        <f>SUM(IF(COLUMN($C119:$CD119)&lt;(3+SUM('2、试卷（期末）'!$B$2:$B$5)),$C119:$CD119,))-SUM($CE119:$CG119)</f>
        <v>0</v>
      </c>
      <c r="CI119" s="437">
        <f>SUM(IF(COLUMN($C119:$CD119)&lt;(3+SUM('2、试卷（期末）'!$B$2:$B$6)),$C119:$CD119,))-SUM($CE119:$CH119)</f>
        <v>0</v>
      </c>
      <c r="CJ119" s="437">
        <f>SUM(IF(COLUMN($C119:$CD119)&lt;(3+SUM('2、试卷（期末）'!$B$2:$B$7)),$C119:$CD119,))-SUM($CE119:$CI119)</f>
        <v>0</v>
      </c>
      <c r="CK119" s="437">
        <f>SUM(IF(COLUMN($C119:$CD119)&lt;(3+SUM('2、试卷（期末）'!$B$2:$B$8)),$C119:$CD119,))-SUM($CE119:$CJ119)</f>
        <v>0</v>
      </c>
      <c r="CL119" s="437">
        <f>SUM(IF(COLUMN($C119:$CD119)&lt;(3+SUM('2、试卷（期末）'!$B$2:$B$9)),$C119:$CD119,))-SUM($CE119:$CK119)</f>
        <v>0</v>
      </c>
      <c r="CM119" s="437">
        <f>SUM(IF(COLUMN($C119:$CD119)&lt;(3+SUM('2、试卷（期末）'!$B$2:$B$10)),$C119:$CD119,))-SUM($CE119:$CL119)</f>
        <v>0</v>
      </c>
      <c r="CN119" s="437">
        <f>SUM(IF(COLUMN($C119:$CD119)&lt;(3+SUM('2、试卷（期末）'!$B$2:$B$11)),$C119:$CD119,))-SUM($CE119:$CM119)</f>
        <v>0</v>
      </c>
      <c r="CO119" s="437">
        <f t="shared" si="3"/>
        <v>0</v>
      </c>
      <c r="CP119" s="438">
        <f ca="1">ROUND(CO119*'1、课程目标与考核方式'!$H$13/100+IF(ISERROR(VLOOKUP(A119,'4、平时成绩'!$A$2:$H$201,8,FALSE)),0,VLOOKUP(A119,'4、平时成绩'!$A$2:$H$201,8,FALSE)),0)</f>
        <v>0</v>
      </c>
    </row>
    <row r="120" s="32" customFormat="1" spans="1:94">
      <c r="A120" s="440"/>
      <c r="B120" s="440"/>
      <c r="C120" s="441"/>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6"/>
      <c r="AA120" s="436"/>
      <c r="AB120" s="436"/>
      <c r="AC120" s="436"/>
      <c r="AD120" s="436"/>
      <c r="AE120" s="436"/>
      <c r="AF120" s="436"/>
      <c r="AG120" s="436"/>
      <c r="AH120" s="436"/>
      <c r="AI120" s="436"/>
      <c r="AJ120" s="436"/>
      <c r="AK120" s="436"/>
      <c r="AL120" s="436"/>
      <c r="AM120" s="436"/>
      <c r="AN120" s="436"/>
      <c r="AO120" s="436"/>
      <c r="AP120" s="436"/>
      <c r="AQ120" s="436"/>
      <c r="AR120" s="436"/>
      <c r="AS120" s="436"/>
      <c r="AT120" s="436"/>
      <c r="AU120" s="436"/>
      <c r="AV120" s="436"/>
      <c r="AW120" s="436"/>
      <c r="AX120" s="436"/>
      <c r="AY120" s="436"/>
      <c r="AZ120" s="436"/>
      <c r="BA120" s="436"/>
      <c r="BB120" s="436"/>
      <c r="BC120" s="436"/>
      <c r="BD120" s="436"/>
      <c r="BE120" s="436"/>
      <c r="BF120" s="436"/>
      <c r="BG120" s="436"/>
      <c r="BH120" s="436"/>
      <c r="BI120" s="436"/>
      <c r="BJ120" s="436"/>
      <c r="BK120" s="436"/>
      <c r="BL120" s="436"/>
      <c r="BM120" s="436"/>
      <c r="BN120" s="436"/>
      <c r="BO120" s="436"/>
      <c r="BP120" s="436"/>
      <c r="BQ120" s="436"/>
      <c r="BR120" s="436"/>
      <c r="BS120" s="436"/>
      <c r="BT120" s="436"/>
      <c r="BU120" s="436"/>
      <c r="BV120" s="436"/>
      <c r="BW120" s="436"/>
      <c r="BX120" s="436"/>
      <c r="BY120" s="436"/>
      <c r="BZ120" s="436"/>
      <c r="CA120" s="436"/>
      <c r="CB120" s="436"/>
      <c r="CC120" s="436"/>
      <c r="CD120" s="436"/>
      <c r="CE120" s="437">
        <f>SUM(IF(COLUMN($C120:$CD120)&lt;(3+'2、试卷（期末）'!$B$2),$C120:$CD120,))</f>
        <v>0</v>
      </c>
      <c r="CF120" s="437">
        <f>SUM(IF(COLUMN($C120:$CD120)&lt;(3+SUM('2、试卷（期末）'!$B$2:$B$3)),$C120:$CD120,))-$CE120</f>
        <v>0</v>
      </c>
      <c r="CG120" s="437">
        <f>SUM(IF(COLUMN($C120:$CD120)&lt;(3+SUM('2、试卷（期末）'!$B$2:$B$4)),$C120:$CD120,))-SUM($CE120:$CF120)</f>
        <v>0</v>
      </c>
      <c r="CH120" s="437">
        <f>SUM(IF(COLUMN($C120:$CD120)&lt;(3+SUM('2、试卷（期末）'!$B$2:$B$5)),$C120:$CD120,))-SUM($CE120:$CG120)</f>
        <v>0</v>
      </c>
      <c r="CI120" s="437">
        <f>SUM(IF(COLUMN($C120:$CD120)&lt;(3+SUM('2、试卷（期末）'!$B$2:$B$6)),$C120:$CD120,))-SUM($CE120:$CH120)</f>
        <v>0</v>
      </c>
      <c r="CJ120" s="437">
        <f>SUM(IF(COLUMN($C120:$CD120)&lt;(3+SUM('2、试卷（期末）'!$B$2:$B$7)),$C120:$CD120,))-SUM($CE120:$CI120)</f>
        <v>0</v>
      </c>
      <c r="CK120" s="437">
        <f>SUM(IF(COLUMN($C120:$CD120)&lt;(3+SUM('2、试卷（期末）'!$B$2:$B$8)),$C120:$CD120,))-SUM($CE120:$CJ120)</f>
        <v>0</v>
      </c>
      <c r="CL120" s="437">
        <f>SUM(IF(COLUMN($C120:$CD120)&lt;(3+SUM('2、试卷（期末）'!$B$2:$B$9)),$C120:$CD120,))-SUM($CE120:$CK120)</f>
        <v>0</v>
      </c>
      <c r="CM120" s="437">
        <f>SUM(IF(COLUMN($C120:$CD120)&lt;(3+SUM('2、试卷（期末）'!$B$2:$B$10)),$C120:$CD120,))-SUM($CE120:$CL120)</f>
        <v>0</v>
      </c>
      <c r="CN120" s="437">
        <f>SUM(IF(COLUMN($C120:$CD120)&lt;(3+SUM('2、试卷（期末）'!$B$2:$B$11)),$C120:$CD120,))-SUM($CE120:$CM120)</f>
        <v>0</v>
      </c>
      <c r="CO120" s="437">
        <f t="shared" si="3"/>
        <v>0</v>
      </c>
      <c r="CP120" s="438">
        <f ca="1">ROUND(CO120*'1、课程目标与考核方式'!$H$13/100+IF(ISERROR(VLOOKUP(A120,'4、平时成绩'!$A$2:$H$201,8,FALSE)),0,VLOOKUP(A120,'4、平时成绩'!$A$2:$H$201,8,FALSE)),0)</f>
        <v>0</v>
      </c>
    </row>
    <row r="121" s="32" customFormat="1" spans="1:94">
      <c r="A121" s="440"/>
      <c r="B121" s="442"/>
      <c r="C121" s="441"/>
      <c r="D121" s="436"/>
      <c r="E121" s="436"/>
      <c r="F121" s="436"/>
      <c r="G121" s="436"/>
      <c r="H121" s="436"/>
      <c r="I121" s="436"/>
      <c r="J121" s="436"/>
      <c r="K121" s="436"/>
      <c r="L121" s="436"/>
      <c r="M121" s="436"/>
      <c r="N121" s="436"/>
      <c r="O121" s="436"/>
      <c r="P121" s="436"/>
      <c r="Q121" s="436"/>
      <c r="R121" s="436"/>
      <c r="S121" s="436"/>
      <c r="T121" s="436"/>
      <c r="U121" s="436"/>
      <c r="V121" s="436"/>
      <c r="W121" s="436"/>
      <c r="X121" s="436"/>
      <c r="Y121" s="436"/>
      <c r="Z121" s="436"/>
      <c r="AA121" s="436"/>
      <c r="AB121" s="436"/>
      <c r="AC121" s="436"/>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6"/>
      <c r="AY121" s="436"/>
      <c r="AZ121" s="436"/>
      <c r="BA121" s="436"/>
      <c r="BB121" s="436"/>
      <c r="BC121" s="436"/>
      <c r="BD121" s="436"/>
      <c r="BE121" s="436"/>
      <c r="BF121" s="436"/>
      <c r="BG121" s="436"/>
      <c r="BH121" s="436"/>
      <c r="BI121" s="436"/>
      <c r="BJ121" s="436"/>
      <c r="BK121" s="436"/>
      <c r="BL121" s="436"/>
      <c r="BM121" s="436"/>
      <c r="BN121" s="436"/>
      <c r="BO121" s="436"/>
      <c r="BP121" s="436"/>
      <c r="BQ121" s="436"/>
      <c r="BR121" s="436"/>
      <c r="BS121" s="436"/>
      <c r="BT121" s="436"/>
      <c r="BU121" s="436"/>
      <c r="BV121" s="436"/>
      <c r="BW121" s="436"/>
      <c r="BX121" s="436"/>
      <c r="BY121" s="436"/>
      <c r="BZ121" s="436"/>
      <c r="CA121" s="436"/>
      <c r="CB121" s="436"/>
      <c r="CC121" s="436"/>
      <c r="CD121" s="436"/>
      <c r="CE121" s="437">
        <f>SUM(IF(COLUMN($C121:$CD121)&lt;(3+'2、试卷（期末）'!$B$2),$C121:$CD121,))</f>
        <v>0</v>
      </c>
      <c r="CF121" s="437">
        <f>SUM(IF(COLUMN($C121:$CD121)&lt;(3+SUM('2、试卷（期末）'!$B$2:$B$3)),$C121:$CD121,))-$CE121</f>
        <v>0</v>
      </c>
      <c r="CG121" s="437">
        <f>SUM(IF(COLUMN($C121:$CD121)&lt;(3+SUM('2、试卷（期末）'!$B$2:$B$4)),$C121:$CD121,))-SUM($CE121:$CF121)</f>
        <v>0</v>
      </c>
      <c r="CH121" s="437">
        <f>SUM(IF(COLUMN($C121:$CD121)&lt;(3+SUM('2、试卷（期末）'!$B$2:$B$5)),$C121:$CD121,))-SUM($CE121:$CG121)</f>
        <v>0</v>
      </c>
      <c r="CI121" s="437">
        <f>SUM(IF(COLUMN($C121:$CD121)&lt;(3+SUM('2、试卷（期末）'!$B$2:$B$6)),$C121:$CD121,))-SUM($CE121:$CH121)</f>
        <v>0</v>
      </c>
      <c r="CJ121" s="437">
        <f>SUM(IF(COLUMN($C121:$CD121)&lt;(3+SUM('2、试卷（期末）'!$B$2:$B$7)),$C121:$CD121,))-SUM($CE121:$CI121)</f>
        <v>0</v>
      </c>
      <c r="CK121" s="437">
        <f>SUM(IF(COLUMN($C121:$CD121)&lt;(3+SUM('2、试卷（期末）'!$B$2:$B$8)),$C121:$CD121,))-SUM($CE121:$CJ121)</f>
        <v>0</v>
      </c>
      <c r="CL121" s="437">
        <f>SUM(IF(COLUMN($C121:$CD121)&lt;(3+SUM('2、试卷（期末）'!$B$2:$B$9)),$C121:$CD121,))-SUM($CE121:$CK121)</f>
        <v>0</v>
      </c>
      <c r="CM121" s="437">
        <f>SUM(IF(COLUMN($C121:$CD121)&lt;(3+SUM('2、试卷（期末）'!$B$2:$B$10)),$C121:$CD121,))-SUM($CE121:$CL121)</f>
        <v>0</v>
      </c>
      <c r="CN121" s="437">
        <f>SUM(IF(COLUMN($C121:$CD121)&lt;(3+SUM('2、试卷（期末）'!$B$2:$B$11)),$C121:$CD121,))-SUM($CE121:$CM121)</f>
        <v>0</v>
      </c>
      <c r="CO121" s="437">
        <f t="shared" si="3"/>
        <v>0</v>
      </c>
      <c r="CP121" s="438">
        <f ca="1">ROUND(CO121*'1、课程目标与考核方式'!$H$13/100+IF(ISERROR(VLOOKUP(A121,'4、平时成绩'!$A$2:$H$201,8,FALSE)),0,VLOOKUP(A121,'4、平时成绩'!$A$2:$H$201,8,FALSE)),0)</f>
        <v>0</v>
      </c>
    </row>
    <row r="122" s="32" customFormat="1" spans="1:94">
      <c r="A122" s="440"/>
      <c r="B122" s="440"/>
      <c r="C122" s="441"/>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36"/>
      <c r="AA122" s="436"/>
      <c r="AB122" s="436"/>
      <c r="AC122" s="436"/>
      <c r="AD122" s="436"/>
      <c r="AE122" s="436"/>
      <c r="AF122" s="436"/>
      <c r="AG122" s="436"/>
      <c r="AH122" s="436"/>
      <c r="AI122" s="436"/>
      <c r="AJ122" s="436"/>
      <c r="AK122" s="436"/>
      <c r="AL122" s="436"/>
      <c r="AM122" s="436"/>
      <c r="AN122" s="436"/>
      <c r="AO122" s="436"/>
      <c r="AP122" s="436"/>
      <c r="AQ122" s="436"/>
      <c r="AR122" s="436"/>
      <c r="AS122" s="436"/>
      <c r="AT122" s="436"/>
      <c r="AU122" s="436"/>
      <c r="AV122" s="436"/>
      <c r="AW122" s="436"/>
      <c r="AX122" s="436"/>
      <c r="AY122" s="436"/>
      <c r="AZ122" s="436"/>
      <c r="BA122" s="436"/>
      <c r="BB122" s="436"/>
      <c r="BC122" s="436"/>
      <c r="BD122" s="436"/>
      <c r="BE122" s="436"/>
      <c r="BF122" s="436"/>
      <c r="BG122" s="436"/>
      <c r="BH122" s="436"/>
      <c r="BI122" s="436"/>
      <c r="BJ122" s="436"/>
      <c r="BK122" s="436"/>
      <c r="BL122" s="436"/>
      <c r="BM122" s="436"/>
      <c r="BN122" s="436"/>
      <c r="BO122" s="436"/>
      <c r="BP122" s="436"/>
      <c r="BQ122" s="436"/>
      <c r="BR122" s="436"/>
      <c r="BS122" s="436"/>
      <c r="BT122" s="436"/>
      <c r="BU122" s="436"/>
      <c r="BV122" s="436"/>
      <c r="BW122" s="436"/>
      <c r="BX122" s="436"/>
      <c r="BY122" s="436"/>
      <c r="BZ122" s="436"/>
      <c r="CA122" s="436"/>
      <c r="CB122" s="436"/>
      <c r="CC122" s="436"/>
      <c r="CD122" s="436"/>
      <c r="CE122" s="437">
        <f>SUM(IF(COLUMN($C122:$CD122)&lt;(3+'2、试卷（期末）'!$B$2),$C122:$CD122,))</f>
        <v>0</v>
      </c>
      <c r="CF122" s="437">
        <f>SUM(IF(COLUMN($C122:$CD122)&lt;(3+SUM('2、试卷（期末）'!$B$2:$B$3)),$C122:$CD122,))-$CE122</f>
        <v>0</v>
      </c>
      <c r="CG122" s="437">
        <f>SUM(IF(COLUMN($C122:$CD122)&lt;(3+SUM('2、试卷（期末）'!$B$2:$B$4)),$C122:$CD122,))-SUM($CE122:$CF122)</f>
        <v>0</v>
      </c>
      <c r="CH122" s="437">
        <f>SUM(IF(COLUMN($C122:$CD122)&lt;(3+SUM('2、试卷（期末）'!$B$2:$B$5)),$C122:$CD122,))-SUM($CE122:$CG122)</f>
        <v>0</v>
      </c>
      <c r="CI122" s="437">
        <f>SUM(IF(COLUMN($C122:$CD122)&lt;(3+SUM('2、试卷（期末）'!$B$2:$B$6)),$C122:$CD122,))-SUM($CE122:$CH122)</f>
        <v>0</v>
      </c>
      <c r="CJ122" s="437">
        <f>SUM(IF(COLUMN($C122:$CD122)&lt;(3+SUM('2、试卷（期末）'!$B$2:$B$7)),$C122:$CD122,))-SUM($CE122:$CI122)</f>
        <v>0</v>
      </c>
      <c r="CK122" s="437">
        <f>SUM(IF(COLUMN($C122:$CD122)&lt;(3+SUM('2、试卷（期末）'!$B$2:$B$8)),$C122:$CD122,))-SUM($CE122:$CJ122)</f>
        <v>0</v>
      </c>
      <c r="CL122" s="437">
        <f>SUM(IF(COLUMN($C122:$CD122)&lt;(3+SUM('2、试卷（期末）'!$B$2:$B$9)),$C122:$CD122,))-SUM($CE122:$CK122)</f>
        <v>0</v>
      </c>
      <c r="CM122" s="437">
        <f>SUM(IF(COLUMN($C122:$CD122)&lt;(3+SUM('2、试卷（期末）'!$B$2:$B$10)),$C122:$CD122,))-SUM($CE122:$CL122)</f>
        <v>0</v>
      </c>
      <c r="CN122" s="437">
        <f>SUM(IF(COLUMN($C122:$CD122)&lt;(3+SUM('2、试卷（期末）'!$B$2:$B$11)),$C122:$CD122,))-SUM($CE122:$CM122)</f>
        <v>0</v>
      </c>
      <c r="CO122" s="437">
        <f t="shared" si="3"/>
        <v>0</v>
      </c>
      <c r="CP122" s="438">
        <f ca="1">ROUND(CO122*'1、课程目标与考核方式'!$H$13/100+IF(ISERROR(VLOOKUP(A122,'4、平时成绩'!$A$2:$H$201,8,FALSE)),0,VLOOKUP(A122,'4、平时成绩'!$A$2:$H$201,8,FALSE)),0)</f>
        <v>0</v>
      </c>
    </row>
    <row r="123" s="32" customFormat="1" spans="1:94">
      <c r="A123" s="440"/>
      <c r="B123" s="440"/>
      <c r="C123" s="441"/>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36"/>
      <c r="AA123" s="436"/>
      <c r="AB123" s="436"/>
      <c r="AC123" s="436"/>
      <c r="AD123" s="436"/>
      <c r="AE123" s="436"/>
      <c r="AF123" s="436"/>
      <c r="AG123" s="436"/>
      <c r="AH123" s="436"/>
      <c r="AI123" s="436"/>
      <c r="AJ123" s="436"/>
      <c r="AK123" s="436"/>
      <c r="AL123" s="436"/>
      <c r="AM123" s="436"/>
      <c r="AN123" s="436"/>
      <c r="AO123" s="436"/>
      <c r="AP123" s="436"/>
      <c r="AQ123" s="436"/>
      <c r="AR123" s="436"/>
      <c r="AS123" s="436"/>
      <c r="AT123" s="436"/>
      <c r="AU123" s="436"/>
      <c r="AV123" s="436"/>
      <c r="AW123" s="436"/>
      <c r="AX123" s="436"/>
      <c r="AY123" s="436"/>
      <c r="AZ123" s="436"/>
      <c r="BA123" s="436"/>
      <c r="BB123" s="436"/>
      <c r="BC123" s="436"/>
      <c r="BD123" s="436"/>
      <c r="BE123" s="436"/>
      <c r="BF123" s="436"/>
      <c r="BG123" s="436"/>
      <c r="BH123" s="436"/>
      <c r="BI123" s="436"/>
      <c r="BJ123" s="436"/>
      <c r="BK123" s="436"/>
      <c r="BL123" s="436"/>
      <c r="BM123" s="436"/>
      <c r="BN123" s="436"/>
      <c r="BO123" s="436"/>
      <c r="BP123" s="436"/>
      <c r="BQ123" s="436"/>
      <c r="BR123" s="436"/>
      <c r="BS123" s="436"/>
      <c r="BT123" s="436"/>
      <c r="BU123" s="436"/>
      <c r="BV123" s="436"/>
      <c r="BW123" s="436"/>
      <c r="BX123" s="436"/>
      <c r="BY123" s="436"/>
      <c r="BZ123" s="436"/>
      <c r="CA123" s="436"/>
      <c r="CB123" s="436"/>
      <c r="CC123" s="436"/>
      <c r="CD123" s="436"/>
      <c r="CE123" s="437">
        <f>SUM(IF(COLUMN($C123:$CD123)&lt;(3+'2、试卷（期末）'!$B$2),$C123:$CD123,))</f>
        <v>0</v>
      </c>
      <c r="CF123" s="437">
        <f>SUM(IF(COLUMN($C123:$CD123)&lt;(3+SUM('2、试卷（期末）'!$B$2:$B$3)),$C123:$CD123,))-$CE123</f>
        <v>0</v>
      </c>
      <c r="CG123" s="437">
        <f>SUM(IF(COLUMN($C123:$CD123)&lt;(3+SUM('2、试卷（期末）'!$B$2:$B$4)),$C123:$CD123,))-SUM($CE123:$CF123)</f>
        <v>0</v>
      </c>
      <c r="CH123" s="437">
        <f>SUM(IF(COLUMN($C123:$CD123)&lt;(3+SUM('2、试卷（期末）'!$B$2:$B$5)),$C123:$CD123,))-SUM($CE123:$CG123)</f>
        <v>0</v>
      </c>
      <c r="CI123" s="437">
        <f>SUM(IF(COLUMN($C123:$CD123)&lt;(3+SUM('2、试卷（期末）'!$B$2:$B$6)),$C123:$CD123,))-SUM($CE123:$CH123)</f>
        <v>0</v>
      </c>
      <c r="CJ123" s="437">
        <f>SUM(IF(COLUMN($C123:$CD123)&lt;(3+SUM('2、试卷（期末）'!$B$2:$B$7)),$C123:$CD123,))-SUM($CE123:$CI123)</f>
        <v>0</v>
      </c>
      <c r="CK123" s="437">
        <f>SUM(IF(COLUMN($C123:$CD123)&lt;(3+SUM('2、试卷（期末）'!$B$2:$B$8)),$C123:$CD123,))-SUM($CE123:$CJ123)</f>
        <v>0</v>
      </c>
      <c r="CL123" s="437">
        <f>SUM(IF(COLUMN($C123:$CD123)&lt;(3+SUM('2、试卷（期末）'!$B$2:$B$9)),$C123:$CD123,))-SUM($CE123:$CK123)</f>
        <v>0</v>
      </c>
      <c r="CM123" s="437">
        <f>SUM(IF(COLUMN($C123:$CD123)&lt;(3+SUM('2、试卷（期末）'!$B$2:$B$10)),$C123:$CD123,))-SUM($CE123:$CL123)</f>
        <v>0</v>
      </c>
      <c r="CN123" s="437">
        <f>SUM(IF(COLUMN($C123:$CD123)&lt;(3+SUM('2、试卷（期末）'!$B$2:$B$11)),$C123:$CD123,))-SUM($CE123:$CM123)</f>
        <v>0</v>
      </c>
      <c r="CO123" s="437">
        <f t="shared" si="3"/>
        <v>0</v>
      </c>
      <c r="CP123" s="438">
        <f ca="1">ROUND(CO123*'1、课程目标与考核方式'!$H$13/100+IF(ISERROR(VLOOKUP(A123,'4、平时成绩'!$A$2:$H$201,8,FALSE)),0,VLOOKUP(A123,'4、平时成绩'!$A$2:$H$201,8,FALSE)),0)</f>
        <v>0</v>
      </c>
    </row>
    <row r="124" s="32" customFormat="1" spans="1:94">
      <c r="A124" s="443"/>
      <c r="B124" s="444"/>
      <c r="C124" s="436"/>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36"/>
      <c r="AA124" s="436"/>
      <c r="AB124" s="436"/>
      <c r="AC124" s="436"/>
      <c r="AD124" s="436"/>
      <c r="AE124" s="436"/>
      <c r="AF124" s="436"/>
      <c r="AG124" s="436"/>
      <c r="AH124" s="436"/>
      <c r="AI124" s="436"/>
      <c r="AJ124" s="436"/>
      <c r="AK124" s="436"/>
      <c r="AL124" s="436"/>
      <c r="AM124" s="436"/>
      <c r="AN124" s="436"/>
      <c r="AO124" s="436"/>
      <c r="AP124" s="436"/>
      <c r="AQ124" s="436"/>
      <c r="AR124" s="436"/>
      <c r="AS124" s="436"/>
      <c r="AT124" s="436"/>
      <c r="AU124" s="436"/>
      <c r="AV124" s="436"/>
      <c r="AW124" s="436"/>
      <c r="AX124" s="436"/>
      <c r="AY124" s="436"/>
      <c r="AZ124" s="436"/>
      <c r="BA124" s="436"/>
      <c r="BB124" s="436"/>
      <c r="BC124" s="436"/>
      <c r="BD124" s="436"/>
      <c r="BE124" s="436"/>
      <c r="BF124" s="436"/>
      <c r="BG124" s="436"/>
      <c r="BH124" s="436"/>
      <c r="BI124" s="436"/>
      <c r="BJ124" s="436"/>
      <c r="BK124" s="436"/>
      <c r="BL124" s="436"/>
      <c r="BM124" s="436"/>
      <c r="BN124" s="436"/>
      <c r="BO124" s="436"/>
      <c r="BP124" s="436"/>
      <c r="BQ124" s="436"/>
      <c r="BR124" s="436"/>
      <c r="BS124" s="436"/>
      <c r="BT124" s="436"/>
      <c r="BU124" s="436"/>
      <c r="BV124" s="436"/>
      <c r="BW124" s="436"/>
      <c r="BX124" s="436"/>
      <c r="BY124" s="436"/>
      <c r="BZ124" s="436"/>
      <c r="CA124" s="436"/>
      <c r="CB124" s="436"/>
      <c r="CC124" s="436"/>
      <c r="CD124" s="436"/>
      <c r="CE124" s="437">
        <f>SUM(IF(COLUMN($C124:$CD124)&lt;(3+'2、试卷（期末）'!$B$2),$C124:$CD124,))</f>
        <v>0</v>
      </c>
      <c r="CF124" s="437">
        <f>SUM(IF(COLUMN($C124:$CD124)&lt;(3+SUM('2、试卷（期末）'!$B$2:$B$3)),$C124:$CD124,))-$CE124</f>
        <v>0</v>
      </c>
      <c r="CG124" s="437">
        <f>SUM(IF(COLUMN($C124:$CD124)&lt;(3+SUM('2、试卷（期末）'!$B$2:$B$4)),$C124:$CD124,))-SUM($CE124:$CF124)</f>
        <v>0</v>
      </c>
      <c r="CH124" s="437">
        <f>SUM(IF(COLUMN($C124:$CD124)&lt;(3+SUM('2、试卷（期末）'!$B$2:$B$5)),$C124:$CD124,))-SUM($CE124:$CG124)</f>
        <v>0</v>
      </c>
      <c r="CI124" s="437">
        <f>SUM(IF(COLUMN($C124:$CD124)&lt;(3+SUM('2、试卷（期末）'!$B$2:$B$6)),$C124:$CD124,))-SUM($CE124:$CH124)</f>
        <v>0</v>
      </c>
      <c r="CJ124" s="437">
        <f>SUM(IF(COLUMN($C124:$CD124)&lt;(3+SUM('2、试卷（期末）'!$B$2:$B$7)),$C124:$CD124,))-SUM($CE124:$CI124)</f>
        <v>0</v>
      </c>
      <c r="CK124" s="437">
        <f>SUM(IF(COLUMN($C124:$CD124)&lt;(3+SUM('2、试卷（期末）'!$B$2:$B$8)),$C124:$CD124,))-SUM($CE124:$CJ124)</f>
        <v>0</v>
      </c>
      <c r="CL124" s="437">
        <f>SUM(IF(COLUMN($C124:$CD124)&lt;(3+SUM('2、试卷（期末）'!$B$2:$B$9)),$C124:$CD124,))-SUM($CE124:$CK124)</f>
        <v>0</v>
      </c>
      <c r="CM124" s="437">
        <f>SUM(IF(COLUMN($C124:$CD124)&lt;(3+SUM('2、试卷（期末）'!$B$2:$B$10)),$C124:$CD124,))-SUM($CE124:$CL124)</f>
        <v>0</v>
      </c>
      <c r="CN124" s="437">
        <f>SUM(IF(COLUMN($C124:$CD124)&lt;(3+SUM('2、试卷（期末）'!$B$2:$B$11)),$C124:$CD124,))-SUM($CE124:$CM124)</f>
        <v>0</v>
      </c>
      <c r="CO124" s="437">
        <f t="shared" si="3"/>
        <v>0</v>
      </c>
      <c r="CP124" s="438">
        <f ca="1">ROUND(CO124*'1、课程目标与考核方式'!$H$13/100+IF(ISERROR(VLOOKUP(A124,'4、平时成绩'!$A$2:$H$201,8,FALSE)),0,VLOOKUP(A124,'4、平时成绩'!$A$2:$H$201,8,FALSE)),0)</f>
        <v>0</v>
      </c>
    </row>
    <row r="125" s="32" customFormat="1" spans="1:94">
      <c r="A125" s="443"/>
      <c r="B125" s="444"/>
      <c r="C125" s="436"/>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36"/>
      <c r="AA125" s="436"/>
      <c r="AB125" s="436"/>
      <c r="AC125" s="436"/>
      <c r="AD125" s="436"/>
      <c r="AE125" s="436"/>
      <c r="AF125" s="436"/>
      <c r="AG125" s="436"/>
      <c r="AH125" s="436"/>
      <c r="AI125" s="436"/>
      <c r="AJ125" s="436"/>
      <c r="AK125" s="436"/>
      <c r="AL125" s="436"/>
      <c r="AM125" s="436"/>
      <c r="AN125" s="436"/>
      <c r="AO125" s="436"/>
      <c r="AP125" s="436"/>
      <c r="AQ125" s="436"/>
      <c r="AR125" s="436"/>
      <c r="AS125" s="436"/>
      <c r="AT125" s="436"/>
      <c r="AU125" s="436"/>
      <c r="AV125" s="436"/>
      <c r="AW125" s="436"/>
      <c r="AX125" s="436"/>
      <c r="AY125" s="436"/>
      <c r="AZ125" s="436"/>
      <c r="BA125" s="436"/>
      <c r="BB125" s="436"/>
      <c r="BC125" s="436"/>
      <c r="BD125" s="436"/>
      <c r="BE125" s="436"/>
      <c r="BF125" s="436"/>
      <c r="BG125" s="436"/>
      <c r="BH125" s="436"/>
      <c r="BI125" s="436"/>
      <c r="BJ125" s="436"/>
      <c r="BK125" s="436"/>
      <c r="BL125" s="436"/>
      <c r="BM125" s="436"/>
      <c r="BN125" s="436"/>
      <c r="BO125" s="436"/>
      <c r="BP125" s="436"/>
      <c r="BQ125" s="436"/>
      <c r="BR125" s="436"/>
      <c r="BS125" s="436"/>
      <c r="BT125" s="436"/>
      <c r="BU125" s="436"/>
      <c r="BV125" s="436"/>
      <c r="BW125" s="436"/>
      <c r="BX125" s="436"/>
      <c r="BY125" s="436"/>
      <c r="BZ125" s="436"/>
      <c r="CA125" s="436"/>
      <c r="CB125" s="436"/>
      <c r="CC125" s="436"/>
      <c r="CD125" s="436"/>
      <c r="CE125" s="437">
        <f>SUM(IF(COLUMN($C125:$CD125)&lt;(3+'2、试卷（期末）'!$B$2),$C125:$CD125,))</f>
        <v>0</v>
      </c>
      <c r="CF125" s="437">
        <f>SUM(IF(COLUMN($C125:$CD125)&lt;(3+SUM('2、试卷（期末）'!$B$2:$B$3)),$C125:$CD125,))-$CE125</f>
        <v>0</v>
      </c>
      <c r="CG125" s="437">
        <f>SUM(IF(COLUMN($C125:$CD125)&lt;(3+SUM('2、试卷（期末）'!$B$2:$B$4)),$C125:$CD125,))-SUM($CE125:$CF125)</f>
        <v>0</v>
      </c>
      <c r="CH125" s="437">
        <f>SUM(IF(COLUMN($C125:$CD125)&lt;(3+SUM('2、试卷（期末）'!$B$2:$B$5)),$C125:$CD125,))-SUM($CE125:$CG125)</f>
        <v>0</v>
      </c>
      <c r="CI125" s="437">
        <f>SUM(IF(COLUMN($C125:$CD125)&lt;(3+SUM('2、试卷（期末）'!$B$2:$B$6)),$C125:$CD125,))-SUM($CE125:$CH125)</f>
        <v>0</v>
      </c>
      <c r="CJ125" s="437">
        <f>SUM(IF(COLUMN($C125:$CD125)&lt;(3+SUM('2、试卷（期末）'!$B$2:$B$7)),$C125:$CD125,))-SUM($CE125:$CI125)</f>
        <v>0</v>
      </c>
      <c r="CK125" s="437">
        <f>SUM(IF(COLUMN($C125:$CD125)&lt;(3+SUM('2、试卷（期末）'!$B$2:$B$8)),$C125:$CD125,))-SUM($CE125:$CJ125)</f>
        <v>0</v>
      </c>
      <c r="CL125" s="437">
        <f>SUM(IF(COLUMN($C125:$CD125)&lt;(3+SUM('2、试卷（期末）'!$B$2:$B$9)),$C125:$CD125,))-SUM($CE125:$CK125)</f>
        <v>0</v>
      </c>
      <c r="CM125" s="437">
        <f>SUM(IF(COLUMN($C125:$CD125)&lt;(3+SUM('2、试卷（期末）'!$B$2:$B$10)),$C125:$CD125,))-SUM($CE125:$CL125)</f>
        <v>0</v>
      </c>
      <c r="CN125" s="437">
        <f>SUM(IF(COLUMN($C125:$CD125)&lt;(3+SUM('2、试卷（期末）'!$B$2:$B$11)),$C125:$CD125,))-SUM($CE125:$CM125)</f>
        <v>0</v>
      </c>
      <c r="CO125" s="437">
        <f t="shared" si="3"/>
        <v>0</v>
      </c>
      <c r="CP125" s="438">
        <f ca="1">ROUND(CO125*'1、课程目标与考核方式'!$H$13/100+IF(ISERROR(VLOOKUP(A125,'4、平时成绩'!$A$2:$H$201,8,FALSE)),0,VLOOKUP(A125,'4、平时成绩'!$A$2:$H$201,8,FALSE)),0)</f>
        <v>0</v>
      </c>
    </row>
    <row r="126" s="32" customFormat="1" spans="1:94">
      <c r="A126" s="443"/>
      <c r="B126" s="444"/>
      <c r="C126" s="436"/>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36"/>
      <c r="AA126" s="436"/>
      <c r="AB126" s="436"/>
      <c r="AC126" s="436"/>
      <c r="AD126" s="436"/>
      <c r="AE126" s="436"/>
      <c r="AF126" s="436"/>
      <c r="AG126" s="436"/>
      <c r="AH126" s="436"/>
      <c r="AI126" s="436"/>
      <c r="AJ126" s="436"/>
      <c r="AK126" s="436"/>
      <c r="AL126" s="436"/>
      <c r="AM126" s="436"/>
      <c r="AN126" s="436"/>
      <c r="AO126" s="436"/>
      <c r="AP126" s="436"/>
      <c r="AQ126" s="436"/>
      <c r="AR126" s="436"/>
      <c r="AS126" s="436"/>
      <c r="AT126" s="436"/>
      <c r="AU126" s="436"/>
      <c r="AV126" s="436"/>
      <c r="AW126" s="436"/>
      <c r="AX126" s="436"/>
      <c r="AY126" s="436"/>
      <c r="AZ126" s="436"/>
      <c r="BA126" s="436"/>
      <c r="BB126" s="436"/>
      <c r="BC126" s="436"/>
      <c r="BD126" s="436"/>
      <c r="BE126" s="436"/>
      <c r="BF126" s="436"/>
      <c r="BG126" s="436"/>
      <c r="BH126" s="436"/>
      <c r="BI126" s="436"/>
      <c r="BJ126" s="436"/>
      <c r="BK126" s="436"/>
      <c r="BL126" s="436"/>
      <c r="BM126" s="436"/>
      <c r="BN126" s="436"/>
      <c r="BO126" s="436"/>
      <c r="BP126" s="436"/>
      <c r="BQ126" s="436"/>
      <c r="BR126" s="436"/>
      <c r="BS126" s="436"/>
      <c r="BT126" s="436"/>
      <c r="BU126" s="436"/>
      <c r="BV126" s="436"/>
      <c r="BW126" s="436"/>
      <c r="BX126" s="436"/>
      <c r="BY126" s="436"/>
      <c r="BZ126" s="436"/>
      <c r="CA126" s="436"/>
      <c r="CB126" s="436"/>
      <c r="CC126" s="436"/>
      <c r="CD126" s="436"/>
      <c r="CE126" s="437">
        <f>SUM(IF(COLUMN($C126:$CD126)&lt;(3+'2、试卷（期末）'!$B$2),$C126:$CD126,))</f>
        <v>0</v>
      </c>
      <c r="CF126" s="437">
        <f>SUM(IF(COLUMN($C126:$CD126)&lt;(3+SUM('2、试卷（期末）'!$B$2:$B$3)),$C126:$CD126,))-$CE126</f>
        <v>0</v>
      </c>
      <c r="CG126" s="437">
        <f>SUM(IF(COLUMN($C126:$CD126)&lt;(3+SUM('2、试卷（期末）'!$B$2:$B$4)),$C126:$CD126,))-SUM($CE126:$CF126)</f>
        <v>0</v>
      </c>
      <c r="CH126" s="437">
        <f>SUM(IF(COLUMN($C126:$CD126)&lt;(3+SUM('2、试卷（期末）'!$B$2:$B$5)),$C126:$CD126,))-SUM($CE126:$CG126)</f>
        <v>0</v>
      </c>
      <c r="CI126" s="437">
        <f>SUM(IF(COLUMN($C126:$CD126)&lt;(3+SUM('2、试卷（期末）'!$B$2:$B$6)),$C126:$CD126,))-SUM($CE126:$CH126)</f>
        <v>0</v>
      </c>
      <c r="CJ126" s="437">
        <f>SUM(IF(COLUMN($C126:$CD126)&lt;(3+SUM('2、试卷（期末）'!$B$2:$B$7)),$C126:$CD126,))-SUM($CE126:$CI126)</f>
        <v>0</v>
      </c>
      <c r="CK126" s="437">
        <f>SUM(IF(COLUMN($C126:$CD126)&lt;(3+SUM('2、试卷（期末）'!$B$2:$B$8)),$C126:$CD126,))-SUM($CE126:$CJ126)</f>
        <v>0</v>
      </c>
      <c r="CL126" s="437">
        <f>SUM(IF(COLUMN($C126:$CD126)&lt;(3+SUM('2、试卷（期末）'!$B$2:$B$9)),$C126:$CD126,))-SUM($CE126:$CK126)</f>
        <v>0</v>
      </c>
      <c r="CM126" s="437">
        <f>SUM(IF(COLUMN($C126:$CD126)&lt;(3+SUM('2、试卷（期末）'!$B$2:$B$10)),$C126:$CD126,))-SUM($CE126:$CL126)</f>
        <v>0</v>
      </c>
      <c r="CN126" s="437">
        <f>SUM(IF(COLUMN($C126:$CD126)&lt;(3+SUM('2、试卷（期末）'!$B$2:$B$11)),$C126:$CD126,))-SUM($CE126:$CM126)</f>
        <v>0</v>
      </c>
      <c r="CO126" s="437">
        <f t="shared" si="3"/>
        <v>0</v>
      </c>
      <c r="CP126" s="438">
        <f ca="1">ROUND(CO126*'1、课程目标与考核方式'!$H$13/100+IF(ISERROR(VLOOKUP(A126,'4、平时成绩'!$A$2:$H$201,8,FALSE)),0,VLOOKUP(A126,'4、平时成绩'!$A$2:$H$201,8,FALSE)),0)</f>
        <v>0</v>
      </c>
    </row>
    <row r="127" s="32" customFormat="1" spans="1:94">
      <c r="A127" s="443"/>
      <c r="B127" s="443"/>
      <c r="C127" s="436"/>
      <c r="D127" s="436"/>
      <c r="E127" s="436"/>
      <c r="F127" s="436"/>
      <c r="G127" s="436"/>
      <c r="H127" s="436"/>
      <c r="I127" s="436"/>
      <c r="J127" s="436"/>
      <c r="K127" s="436"/>
      <c r="L127" s="436"/>
      <c r="M127" s="436"/>
      <c r="N127" s="436"/>
      <c r="O127" s="436"/>
      <c r="P127" s="436"/>
      <c r="Q127" s="436"/>
      <c r="R127" s="436"/>
      <c r="S127" s="436"/>
      <c r="T127" s="436"/>
      <c r="U127" s="436"/>
      <c r="V127" s="436"/>
      <c r="W127" s="436"/>
      <c r="X127" s="436"/>
      <c r="Y127" s="436"/>
      <c r="Z127" s="436"/>
      <c r="AA127" s="436"/>
      <c r="AB127" s="436"/>
      <c r="AC127" s="436"/>
      <c r="AD127" s="436"/>
      <c r="AE127" s="436"/>
      <c r="AF127" s="436"/>
      <c r="AG127" s="436"/>
      <c r="AH127" s="436"/>
      <c r="AI127" s="436"/>
      <c r="AJ127" s="436"/>
      <c r="AK127" s="436"/>
      <c r="AL127" s="436"/>
      <c r="AM127" s="436"/>
      <c r="AN127" s="436"/>
      <c r="AO127" s="436"/>
      <c r="AP127" s="436"/>
      <c r="AQ127" s="436"/>
      <c r="AR127" s="436"/>
      <c r="AS127" s="436"/>
      <c r="AT127" s="436"/>
      <c r="AU127" s="436"/>
      <c r="AV127" s="436"/>
      <c r="AW127" s="436"/>
      <c r="AX127" s="436"/>
      <c r="AY127" s="436"/>
      <c r="AZ127" s="436"/>
      <c r="BA127" s="436"/>
      <c r="BB127" s="436"/>
      <c r="BC127" s="436"/>
      <c r="BD127" s="436"/>
      <c r="BE127" s="436"/>
      <c r="BF127" s="436"/>
      <c r="BG127" s="436"/>
      <c r="BH127" s="436"/>
      <c r="BI127" s="436"/>
      <c r="BJ127" s="436"/>
      <c r="BK127" s="436"/>
      <c r="BL127" s="436"/>
      <c r="BM127" s="436"/>
      <c r="BN127" s="436"/>
      <c r="BO127" s="436"/>
      <c r="BP127" s="436"/>
      <c r="BQ127" s="436"/>
      <c r="BR127" s="436"/>
      <c r="BS127" s="436"/>
      <c r="BT127" s="436"/>
      <c r="BU127" s="436"/>
      <c r="BV127" s="436"/>
      <c r="BW127" s="436"/>
      <c r="BX127" s="436"/>
      <c r="BY127" s="436"/>
      <c r="BZ127" s="436"/>
      <c r="CA127" s="436"/>
      <c r="CB127" s="436"/>
      <c r="CC127" s="436"/>
      <c r="CD127" s="436"/>
      <c r="CE127" s="437">
        <f>SUM(IF(COLUMN($C127:$CD127)&lt;(3+'2、试卷（期末）'!$B$2),$C127:$CD127,))</f>
        <v>0</v>
      </c>
      <c r="CF127" s="437">
        <f>SUM(IF(COLUMN($C127:$CD127)&lt;(3+SUM('2、试卷（期末）'!$B$2:$B$3)),$C127:$CD127,))-$CE127</f>
        <v>0</v>
      </c>
      <c r="CG127" s="437">
        <f>SUM(IF(COLUMN($C127:$CD127)&lt;(3+SUM('2、试卷（期末）'!$B$2:$B$4)),$C127:$CD127,))-SUM($CE127:$CF127)</f>
        <v>0</v>
      </c>
      <c r="CH127" s="437">
        <f>SUM(IF(COLUMN($C127:$CD127)&lt;(3+SUM('2、试卷（期末）'!$B$2:$B$5)),$C127:$CD127,))-SUM($CE127:$CG127)</f>
        <v>0</v>
      </c>
      <c r="CI127" s="437">
        <f>SUM(IF(COLUMN($C127:$CD127)&lt;(3+SUM('2、试卷（期末）'!$B$2:$B$6)),$C127:$CD127,))-SUM($CE127:$CH127)</f>
        <v>0</v>
      </c>
      <c r="CJ127" s="437">
        <f>SUM(IF(COLUMN($C127:$CD127)&lt;(3+SUM('2、试卷（期末）'!$B$2:$B$7)),$C127:$CD127,))-SUM($CE127:$CI127)</f>
        <v>0</v>
      </c>
      <c r="CK127" s="437">
        <f>SUM(IF(COLUMN($C127:$CD127)&lt;(3+SUM('2、试卷（期末）'!$B$2:$B$8)),$C127:$CD127,))-SUM($CE127:$CJ127)</f>
        <v>0</v>
      </c>
      <c r="CL127" s="437">
        <f>SUM(IF(COLUMN($C127:$CD127)&lt;(3+SUM('2、试卷（期末）'!$B$2:$B$9)),$C127:$CD127,))-SUM($CE127:$CK127)</f>
        <v>0</v>
      </c>
      <c r="CM127" s="437">
        <f>SUM(IF(COLUMN($C127:$CD127)&lt;(3+SUM('2、试卷（期末）'!$B$2:$B$10)),$C127:$CD127,))-SUM($CE127:$CL127)</f>
        <v>0</v>
      </c>
      <c r="CN127" s="437">
        <f>SUM(IF(COLUMN($C127:$CD127)&lt;(3+SUM('2、试卷（期末）'!$B$2:$B$11)),$C127:$CD127,))-SUM($CE127:$CM127)</f>
        <v>0</v>
      </c>
      <c r="CO127" s="437">
        <f t="shared" si="3"/>
        <v>0</v>
      </c>
      <c r="CP127" s="438">
        <f ca="1">ROUND(CO127*'1、课程目标与考核方式'!$H$13/100+IF(ISERROR(VLOOKUP(A127,'4、平时成绩'!$A$2:$H$201,8,FALSE)),0,VLOOKUP(A127,'4、平时成绩'!$A$2:$H$201,8,FALSE)),0)</f>
        <v>0</v>
      </c>
    </row>
    <row r="128" s="32" customFormat="1" spans="1:94">
      <c r="A128" s="443"/>
      <c r="B128" s="443"/>
      <c r="C128" s="436"/>
      <c r="D128" s="436"/>
      <c r="E128" s="436"/>
      <c r="F128" s="436"/>
      <c r="G128" s="436"/>
      <c r="H128" s="436"/>
      <c r="I128" s="436"/>
      <c r="J128" s="436"/>
      <c r="K128" s="436"/>
      <c r="L128" s="436"/>
      <c r="M128" s="436"/>
      <c r="N128" s="436"/>
      <c r="O128" s="436"/>
      <c r="P128" s="436"/>
      <c r="Q128" s="436"/>
      <c r="R128" s="436"/>
      <c r="S128" s="436"/>
      <c r="T128" s="436"/>
      <c r="U128" s="436"/>
      <c r="V128" s="436"/>
      <c r="W128" s="436"/>
      <c r="X128" s="436"/>
      <c r="Y128" s="436"/>
      <c r="Z128" s="436"/>
      <c r="AA128" s="436"/>
      <c r="AB128" s="436"/>
      <c r="AC128" s="436"/>
      <c r="AD128" s="436"/>
      <c r="AE128" s="436"/>
      <c r="AF128" s="436"/>
      <c r="AG128" s="436"/>
      <c r="AH128" s="436"/>
      <c r="AI128" s="436"/>
      <c r="AJ128" s="436"/>
      <c r="AK128" s="436"/>
      <c r="AL128" s="436"/>
      <c r="AM128" s="436"/>
      <c r="AN128" s="436"/>
      <c r="AO128" s="436"/>
      <c r="AP128" s="436"/>
      <c r="AQ128" s="436"/>
      <c r="AR128" s="436"/>
      <c r="AS128" s="436"/>
      <c r="AT128" s="436"/>
      <c r="AU128" s="436"/>
      <c r="AV128" s="436"/>
      <c r="AW128" s="436"/>
      <c r="AX128" s="436"/>
      <c r="AY128" s="436"/>
      <c r="AZ128" s="436"/>
      <c r="BA128" s="436"/>
      <c r="BB128" s="436"/>
      <c r="BC128" s="436"/>
      <c r="BD128" s="436"/>
      <c r="BE128" s="436"/>
      <c r="BF128" s="436"/>
      <c r="BG128" s="436"/>
      <c r="BH128" s="436"/>
      <c r="BI128" s="436"/>
      <c r="BJ128" s="436"/>
      <c r="BK128" s="436"/>
      <c r="BL128" s="436"/>
      <c r="BM128" s="436"/>
      <c r="BN128" s="436"/>
      <c r="BO128" s="436"/>
      <c r="BP128" s="436"/>
      <c r="BQ128" s="436"/>
      <c r="BR128" s="436"/>
      <c r="BS128" s="436"/>
      <c r="BT128" s="436"/>
      <c r="BU128" s="436"/>
      <c r="BV128" s="436"/>
      <c r="BW128" s="436"/>
      <c r="BX128" s="436"/>
      <c r="BY128" s="436"/>
      <c r="BZ128" s="436"/>
      <c r="CA128" s="436"/>
      <c r="CB128" s="436"/>
      <c r="CC128" s="436"/>
      <c r="CD128" s="436"/>
      <c r="CE128" s="437">
        <f>SUM(IF(COLUMN($C128:$CD128)&lt;(3+'2、试卷（期末）'!$B$2),$C128:$CD128,))</f>
        <v>0</v>
      </c>
      <c r="CF128" s="437">
        <f>SUM(IF(COLUMN($C128:$CD128)&lt;(3+SUM('2、试卷（期末）'!$B$2:$B$3)),$C128:$CD128,))-$CE128</f>
        <v>0</v>
      </c>
      <c r="CG128" s="437">
        <f>SUM(IF(COLUMN($C128:$CD128)&lt;(3+SUM('2、试卷（期末）'!$B$2:$B$4)),$C128:$CD128,))-SUM($CE128:$CF128)</f>
        <v>0</v>
      </c>
      <c r="CH128" s="437">
        <f>SUM(IF(COLUMN($C128:$CD128)&lt;(3+SUM('2、试卷（期末）'!$B$2:$B$5)),$C128:$CD128,))-SUM($CE128:$CG128)</f>
        <v>0</v>
      </c>
      <c r="CI128" s="437">
        <f>SUM(IF(COLUMN($C128:$CD128)&lt;(3+SUM('2、试卷（期末）'!$B$2:$B$6)),$C128:$CD128,))-SUM($CE128:$CH128)</f>
        <v>0</v>
      </c>
      <c r="CJ128" s="437">
        <f>SUM(IF(COLUMN($C128:$CD128)&lt;(3+SUM('2、试卷（期末）'!$B$2:$B$7)),$C128:$CD128,))-SUM($CE128:$CI128)</f>
        <v>0</v>
      </c>
      <c r="CK128" s="437">
        <f>SUM(IF(COLUMN($C128:$CD128)&lt;(3+SUM('2、试卷（期末）'!$B$2:$B$8)),$C128:$CD128,))-SUM($CE128:$CJ128)</f>
        <v>0</v>
      </c>
      <c r="CL128" s="437">
        <f>SUM(IF(COLUMN($C128:$CD128)&lt;(3+SUM('2、试卷（期末）'!$B$2:$B$9)),$C128:$CD128,))-SUM($CE128:$CK128)</f>
        <v>0</v>
      </c>
      <c r="CM128" s="437">
        <f>SUM(IF(COLUMN($C128:$CD128)&lt;(3+SUM('2、试卷（期末）'!$B$2:$B$10)),$C128:$CD128,))-SUM($CE128:$CL128)</f>
        <v>0</v>
      </c>
      <c r="CN128" s="437">
        <f>SUM(IF(COLUMN($C128:$CD128)&lt;(3+SUM('2、试卷（期末）'!$B$2:$B$11)),$C128:$CD128,))-SUM($CE128:$CM128)</f>
        <v>0</v>
      </c>
      <c r="CO128" s="437">
        <f t="shared" si="3"/>
        <v>0</v>
      </c>
      <c r="CP128" s="438">
        <f ca="1">ROUND(CO128*'1、课程目标与考核方式'!$H$13/100+IF(ISERROR(VLOOKUP(A128,'4、平时成绩'!$A$2:$H$201,8,FALSE)),0,VLOOKUP(A128,'4、平时成绩'!$A$2:$H$201,8,FALSE)),0)</f>
        <v>0</v>
      </c>
    </row>
    <row r="129" s="32" customFormat="1" spans="1:94">
      <c r="A129" s="443"/>
      <c r="B129" s="443"/>
      <c r="C129" s="436"/>
      <c r="D129" s="436"/>
      <c r="E129" s="436"/>
      <c r="F129" s="436"/>
      <c r="G129" s="436"/>
      <c r="H129" s="436"/>
      <c r="I129" s="436"/>
      <c r="J129" s="436"/>
      <c r="K129" s="436"/>
      <c r="L129" s="436"/>
      <c r="M129" s="436"/>
      <c r="N129" s="436"/>
      <c r="O129" s="436"/>
      <c r="P129" s="436"/>
      <c r="Q129" s="436"/>
      <c r="R129" s="436"/>
      <c r="S129" s="436"/>
      <c r="T129" s="436"/>
      <c r="U129" s="436"/>
      <c r="V129" s="436"/>
      <c r="W129" s="436"/>
      <c r="X129" s="436"/>
      <c r="Y129" s="436"/>
      <c r="Z129" s="436"/>
      <c r="AA129" s="436"/>
      <c r="AB129" s="436"/>
      <c r="AC129" s="436"/>
      <c r="AD129" s="436"/>
      <c r="AE129" s="436"/>
      <c r="AF129" s="436"/>
      <c r="AG129" s="436"/>
      <c r="AH129" s="436"/>
      <c r="AI129" s="436"/>
      <c r="AJ129" s="436"/>
      <c r="AK129" s="436"/>
      <c r="AL129" s="436"/>
      <c r="AM129" s="436"/>
      <c r="AN129" s="436"/>
      <c r="AO129" s="436"/>
      <c r="AP129" s="436"/>
      <c r="AQ129" s="436"/>
      <c r="AR129" s="436"/>
      <c r="AS129" s="436"/>
      <c r="AT129" s="436"/>
      <c r="AU129" s="436"/>
      <c r="AV129" s="436"/>
      <c r="AW129" s="436"/>
      <c r="AX129" s="436"/>
      <c r="AY129" s="436"/>
      <c r="AZ129" s="436"/>
      <c r="BA129" s="436"/>
      <c r="BB129" s="436"/>
      <c r="BC129" s="436"/>
      <c r="BD129" s="436"/>
      <c r="BE129" s="436"/>
      <c r="BF129" s="436"/>
      <c r="BG129" s="436"/>
      <c r="BH129" s="436"/>
      <c r="BI129" s="436"/>
      <c r="BJ129" s="436"/>
      <c r="BK129" s="436"/>
      <c r="BL129" s="436"/>
      <c r="BM129" s="436"/>
      <c r="BN129" s="436"/>
      <c r="BO129" s="436"/>
      <c r="BP129" s="436"/>
      <c r="BQ129" s="436"/>
      <c r="BR129" s="436"/>
      <c r="BS129" s="436"/>
      <c r="BT129" s="436"/>
      <c r="BU129" s="436"/>
      <c r="BV129" s="436"/>
      <c r="BW129" s="436"/>
      <c r="BX129" s="436"/>
      <c r="BY129" s="436"/>
      <c r="BZ129" s="436"/>
      <c r="CA129" s="436"/>
      <c r="CB129" s="436"/>
      <c r="CC129" s="436"/>
      <c r="CD129" s="436"/>
      <c r="CE129" s="437">
        <f>SUM(IF(COLUMN($C129:$CD129)&lt;(3+'2、试卷（期末）'!$B$2),$C129:$CD129,))</f>
        <v>0</v>
      </c>
      <c r="CF129" s="437">
        <f>SUM(IF(COLUMN($C129:$CD129)&lt;(3+SUM('2、试卷（期末）'!$B$2:$B$3)),$C129:$CD129,))-$CE129</f>
        <v>0</v>
      </c>
      <c r="CG129" s="437">
        <f>SUM(IF(COLUMN($C129:$CD129)&lt;(3+SUM('2、试卷（期末）'!$B$2:$B$4)),$C129:$CD129,))-SUM($CE129:$CF129)</f>
        <v>0</v>
      </c>
      <c r="CH129" s="437">
        <f>SUM(IF(COLUMN($C129:$CD129)&lt;(3+SUM('2、试卷（期末）'!$B$2:$B$5)),$C129:$CD129,))-SUM($CE129:$CG129)</f>
        <v>0</v>
      </c>
      <c r="CI129" s="437">
        <f>SUM(IF(COLUMN($C129:$CD129)&lt;(3+SUM('2、试卷（期末）'!$B$2:$B$6)),$C129:$CD129,))-SUM($CE129:$CH129)</f>
        <v>0</v>
      </c>
      <c r="CJ129" s="437">
        <f>SUM(IF(COLUMN($C129:$CD129)&lt;(3+SUM('2、试卷（期末）'!$B$2:$B$7)),$C129:$CD129,))-SUM($CE129:$CI129)</f>
        <v>0</v>
      </c>
      <c r="CK129" s="437">
        <f>SUM(IF(COLUMN($C129:$CD129)&lt;(3+SUM('2、试卷（期末）'!$B$2:$B$8)),$C129:$CD129,))-SUM($CE129:$CJ129)</f>
        <v>0</v>
      </c>
      <c r="CL129" s="437">
        <f>SUM(IF(COLUMN($C129:$CD129)&lt;(3+SUM('2、试卷（期末）'!$B$2:$B$9)),$C129:$CD129,))-SUM($CE129:$CK129)</f>
        <v>0</v>
      </c>
      <c r="CM129" s="437">
        <f>SUM(IF(COLUMN($C129:$CD129)&lt;(3+SUM('2、试卷（期末）'!$B$2:$B$10)),$C129:$CD129,))-SUM($CE129:$CL129)</f>
        <v>0</v>
      </c>
      <c r="CN129" s="437">
        <f>SUM(IF(COLUMN($C129:$CD129)&lt;(3+SUM('2、试卷（期末）'!$B$2:$B$11)),$C129:$CD129,))-SUM($CE129:$CM129)</f>
        <v>0</v>
      </c>
      <c r="CO129" s="437">
        <f t="shared" si="3"/>
        <v>0</v>
      </c>
      <c r="CP129" s="438">
        <f ca="1">ROUND(CO129*'1、课程目标与考核方式'!$H$13/100+IF(ISERROR(VLOOKUP(A129,'4、平时成绩'!$A$2:$H$201,8,FALSE)),0,VLOOKUP(A129,'4、平时成绩'!$A$2:$H$201,8,FALSE)),0)</f>
        <v>0</v>
      </c>
    </row>
    <row r="130" s="32" customFormat="1" spans="1:94">
      <c r="A130" s="443"/>
      <c r="B130" s="443"/>
      <c r="C130" s="436"/>
      <c r="D130" s="436"/>
      <c r="E130" s="436"/>
      <c r="F130" s="436"/>
      <c r="G130" s="436"/>
      <c r="H130" s="436"/>
      <c r="I130" s="436"/>
      <c r="J130" s="436"/>
      <c r="K130" s="436"/>
      <c r="L130" s="436"/>
      <c r="M130" s="436"/>
      <c r="N130" s="436"/>
      <c r="O130" s="436"/>
      <c r="P130" s="436"/>
      <c r="Q130" s="436"/>
      <c r="R130" s="436"/>
      <c r="S130" s="436"/>
      <c r="T130" s="436"/>
      <c r="U130" s="436"/>
      <c r="V130" s="436"/>
      <c r="W130" s="436"/>
      <c r="X130" s="436"/>
      <c r="Y130" s="436"/>
      <c r="Z130" s="436"/>
      <c r="AA130" s="436"/>
      <c r="AB130" s="436"/>
      <c r="AC130" s="436"/>
      <c r="AD130" s="436"/>
      <c r="AE130" s="436"/>
      <c r="AF130" s="436"/>
      <c r="AG130" s="436"/>
      <c r="AH130" s="436"/>
      <c r="AI130" s="436"/>
      <c r="AJ130" s="436"/>
      <c r="AK130" s="436"/>
      <c r="AL130" s="436"/>
      <c r="AM130" s="436"/>
      <c r="AN130" s="436"/>
      <c r="AO130" s="436"/>
      <c r="AP130" s="436"/>
      <c r="AQ130" s="436"/>
      <c r="AR130" s="436"/>
      <c r="AS130" s="436"/>
      <c r="AT130" s="436"/>
      <c r="AU130" s="436"/>
      <c r="AV130" s="436"/>
      <c r="AW130" s="436"/>
      <c r="AX130" s="436"/>
      <c r="AY130" s="436"/>
      <c r="AZ130" s="436"/>
      <c r="BA130" s="436"/>
      <c r="BB130" s="436"/>
      <c r="BC130" s="436"/>
      <c r="BD130" s="436"/>
      <c r="BE130" s="436"/>
      <c r="BF130" s="436"/>
      <c r="BG130" s="436"/>
      <c r="BH130" s="436"/>
      <c r="BI130" s="436"/>
      <c r="BJ130" s="436"/>
      <c r="BK130" s="436"/>
      <c r="BL130" s="436"/>
      <c r="BM130" s="436"/>
      <c r="BN130" s="436"/>
      <c r="BO130" s="436"/>
      <c r="BP130" s="436"/>
      <c r="BQ130" s="436"/>
      <c r="BR130" s="436"/>
      <c r="BS130" s="436"/>
      <c r="BT130" s="436"/>
      <c r="BU130" s="436"/>
      <c r="BV130" s="436"/>
      <c r="BW130" s="436"/>
      <c r="BX130" s="436"/>
      <c r="BY130" s="436"/>
      <c r="BZ130" s="436"/>
      <c r="CA130" s="436"/>
      <c r="CB130" s="436"/>
      <c r="CC130" s="436"/>
      <c r="CD130" s="436"/>
      <c r="CE130" s="437">
        <f>SUM(IF(COLUMN($C130:$CD130)&lt;(3+'2、试卷（期末）'!$B$2),$C130:$CD130,))</f>
        <v>0</v>
      </c>
      <c r="CF130" s="437">
        <f>SUM(IF(COLUMN($C130:$CD130)&lt;(3+SUM('2、试卷（期末）'!$B$2:$B$3)),$C130:$CD130,))-$CE130</f>
        <v>0</v>
      </c>
      <c r="CG130" s="437">
        <f>SUM(IF(COLUMN($C130:$CD130)&lt;(3+SUM('2、试卷（期末）'!$B$2:$B$4)),$C130:$CD130,))-SUM($CE130:$CF130)</f>
        <v>0</v>
      </c>
      <c r="CH130" s="437">
        <f>SUM(IF(COLUMN($C130:$CD130)&lt;(3+SUM('2、试卷（期末）'!$B$2:$B$5)),$C130:$CD130,))-SUM($CE130:$CG130)</f>
        <v>0</v>
      </c>
      <c r="CI130" s="437">
        <f>SUM(IF(COLUMN($C130:$CD130)&lt;(3+SUM('2、试卷（期末）'!$B$2:$B$6)),$C130:$CD130,))-SUM($CE130:$CH130)</f>
        <v>0</v>
      </c>
      <c r="CJ130" s="437">
        <f>SUM(IF(COLUMN($C130:$CD130)&lt;(3+SUM('2、试卷（期末）'!$B$2:$B$7)),$C130:$CD130,))-SUM($CE130:$CI130)</f>
        <v>0</v>
      </c>
      <c r="CK130" s="437">
        <f>SUM(IF(COLUMN($C130:$CD130)&lt;(3+SUM('2、试卷（期末）'!$B$2:$B$8)),$C130:$CD130,))-SUM($CE130:$CJ130)</f>
        <v>0</v>
      </c>
      <c r="CL130" s="437">
        <f>SUM(IF(COLUMN($C130:$CD130)&lt;(3+SUM('2、试卷（期末）'!$B$2:$B$9)),$C130:$CD130,))-SUM($CE130:$CK130)</f>
        <v>0</v>
      </c>
      <c r="CM130" s="437">
        <f>SUM(IF(COLUMN($C130:$CD130)&lt;(3+SUM('2、试卷（期末）'!$B$2:$B$10)),$C130:$CD130,))-SUM($CE130:$CL130)</f>
        <v>0</v>
      </c>
      <c r="CN130" s="437">
        <f>SUM(IF(COLUMN($C130:$CD130)&lt;(3+SUM('2、试卷（期末）'!$B$2:$B$11)),$C130:$CD130,))-SUM($CE130:$CM130)</f>
        <v>0</v>
      </c>
      <c r="CO130" s="437">
        <f t="shared" si="3"/>
        <v>0</v>
      </c>
      <c r="CP130" s="438">
        <f ca="1">ROUND(CO130*'1、课程目标与考核方式'!$H$13/100+IF(ISERROR(VLOOKUP(A130,'4、平时成绩'!$A$2:$H$201,8,FALSE)),0,VLOOKUP(A130,'4、平时成绩'!$A$2:$H$201,8,FALSE)),0)</f>
        <v>0</v>
      </c>
    </row>
    <row r="131" s="32" customFormat="1" spans="1:94">
      <c r="A131" s="443"/>
      <c r="B131" s="443"/>
      <c r="C131" s="436"/>
      <c r="D131" s="436"/>
      <c r="E131" s="436"/>
      <c r="F131" s="436"/>
      <c r="G131" s="436"/>
      <c r="H131" s="436"/>
      <c r="I131" s="436"/>
      <c r="J131" s="436"/>
      <c r="K131" s="436"/>
      <c r="L131" s="436"/>
      <c r="M131" s="436"/>
      <c r="N131" s="436"/>
      <c r="O131" s="436"/>
      <c r="P131" s="436"/>
      <c r="Q131" s="436"/>
      <c r="R131" s="436"/>
      <c r="S131" s="436"/>
      <c r="T131" s="436"/>
      <c r="U131" s="436"/>
      <c r="V131" s="436"/>
      <c r="W131" s="436"/>
      <c r="X131" s="436"/>
      <c r="Y131" s="436"/>
      <c r="Z131" s="436"/>
      <c r="AA131" s="436"/>
      <c r="AB131" s="436"/>
      <c r="AC131" s="436"/>
      <c r="AD131" s="436"/>
      <c r="AE131" s="436"/>
      <c r="AF131" s="436"/>
      <c r="AG131" s="436"/>
      <c r="AH131" s="436"/>
      <c r="AI131" s="436"/>
      <c r="AJ131" s="436"/>
      <c r="AK131" s="436"/>
      <c r="AL131" s="436"/>
      <c r="AM131" s="436"/>
      <c r="AN131" s="436"/>
      <c r="AO131" s="436"/>
      <c r="AP131" s="436"/>
      <c r="AQ131" s="436"/>
      <c r="AR131" s="436"/>
      <c r="AS131" s="436"/>
      <c r="AT131" s="436"/>
      <c r="AU131" s="436"/>
      <c r="AV131" s="436"/>
      <c r="AW131" s="436"/>
      <c r="AX131" s="436"/>
      <c r="AY131" s="436"/>
      <c r="AZ131" s="436"/>
      <c r="BA131" s="436"/>
      <c r="BB131" s="436"/>
      <c r="BC131" s="436"/>
      <c r="BD131" s="436"/>
      <c r="BE131" s="436"/>
      <c r="BF131" s="436"/>
      <c r="BG131" s="436"/>
      <c r="BH131" s="436"/>
      <c r="BI131" s="436"/>
      <c r="BJ131" s="436"/>
      <c r="BK131" s="436"/>
      <c r="BL131" s="436"/>
      <c r="BM131" s="436"/>
      <c r="BN131" s="436"/>
      <c r="BO131" s="436"/>
      <c r="BP131" s="436"/>
      <c r="BQ131" s="436"/>
      <c r="BR131" s="436"/>
      <c r="BS131" s="436"/>
      <c r="BT131" s="436"/>
      <c r="BU131" s="436"/>
      <c r="BV131" s="436"/>
      <c r="BW131" s="436"/>
      <c r="BX131" s="436"/>
      <c r="BY131" s="436"/>
      <c r="BZ131" s="436"/>
      <c r="CA131" s="436"/>
      <c r="CB131" s="436"/>
      <c r="CC131" s="436"/>
      <c r="CD131" s="436"/>
      <c r="CE131" s="437">
        <f>SUM(IF(COLUMN($C131:$CD131)&lt;(3+'2、试卷（期末）'!$B$2),$C131:$CD131,))</f>
        <v>0</v>
      </c>
      <c r="CF131" s="437">
        <f>SUM(IF(COLUMN($C131:$CD131)&lt;(3+SUM('2、试卷（期末）'!$B$2:$B$3)),$C131:$CD131,))-$CE131</f>
        <v>0</v>
      </c>
      <c r="CG131" s="437">
        <f>SUM(IF(COLUMN($C131:$CD131)&lt;(3+SUM('2、试卷（期末）'!$B$2:$B$4)),$C131:$CD131,))-SUM($CE131:$CF131)</f>
        <v>0</v>
      </c>
      <c r="CH131" s="437">
        <f>SUM(IF(COLUMN($C131:$CD131)&lt;(3+SUM('2、试卷（期末）'!$B$2:$B$5)),$C131:$CD131,))-SUM($CE131:$CG131)</f>
        <v>0</v>
      </c>
      <c r="CI131" s="437">
        <f>SUM(IF(COLUMN($C131:$CD131)&lt;(3+SUM('2、试卷（期末）'!$B$2:$B$6)),$C131:$CD131,))-SUM($CE131:$CH131)</f>
        <v>0</v>
      </c>
      <c r="CJ131" s="437">
        <f>SUM(IF(COLUMN($C131:$CD131)&lt;(3+SUM('2、试卷（期末）'!$B$2:$B$7)),$C131:$CD131,))-SUM($CE131:$CI131)</f>
        <v>0</v>
      </c>
      <c r="CK131" s="437">
        <f>SUM(IF(COLUMN($C131:$CD131)&lt;(3+SUM('2、试卷（期末）'!$B$2:$B$8)),$C131:$CD131,))-SUM($CE131:$CJ131)</f>
        <v>0</v>
      </c>
      <c r="CL131" s="437">
        <f>SUM(IF(COLUMN($C131:$CD131)&lt;(3+SUM('2、试卷（期末）'!$B$2:$B$9)),$C131:$CD131,))-SUM($CE131:$CK131)</f>
        <v>0</v>
      </c>
      <c r="CM131" s="437">
        <f>SUM(IF(COLUMN($C131:$CD131)&lt;(3+SUM('2、试卷（期末）'!$B$2:$B$10)),$C131:$CD131,))-SUM($CE131:$CL131)</f>
        <v>0</v>
      </c>
      <c r="CN131" s="437">
        <f>SUM(IF(COLUMN($C131:$CD131)&lt;(3+SUM('2、试卷（期末）'!$B$2:$B$11)),$C131:$CD131,))-SUM($CE131:$CM131)</f>
        <v>0</v>
      </c>
      <c r="CO131" s="437">
        <f t="shared" ref="CO131:CO162" si="4">SUM(C131:CD131)</f>
        <v>0</v>
      </c>
      <c r="CP131" s="438">
        <f ca="1">ROUND(CO131*'1、课程目标与考核方式'!$H$13/100+IF(ISERROR(VLOOKUP(A131,'4、平时成绩'!$A$2:$H$201,8,FALSE)),0,VLOOKUP(A131,'4、平时成绩'!$A$2:$H$201,8,FALSE)),0)</f>
        <v>0</v>
      </c>
    </row>
    <row r="132" s="32" customFormat="1" spans="1:94">
      <c r="A132" s="443"/>
      <c r="B132" s="443"/>
      <c r="C132" s="436"/>
      <c r="D132" s="436"/>
      <c r="E132" s="436"/>
      <c r="F132" s="436"/>
      <c r="G132" s="436"/>
      <c r="H132" s="436"/>
      <c r="I132" s="436"/>
      <c r="J132" s="436"/>
      <c r="K132" s="436"/>
      <c r="L132" s="436"/>
      <c r="M132" s="436"/>
      <c r="N132" s="436"/>
      <c r="O132" s="436"/>
      <c r="P132" s="436"/>
      <c r="Q132" s="436"/>
      <c r="R132" s="436"/>
      <c r="S132" s="436"/>
      <c r="T132" s="436"/>
      <c r="U132" s="436"/>
      <c r="V132" s="436"/>
      <c r="W132" s="436"/>
      <c r="X132" s="436"/>
      <c r="Y132" s="436"/>
      <c r="Z132" s="436"/>
      <c r="AA132" s="436"/>
      <c r="AB132" s="436"/>
      <c r="AC132" s="436"/>
      <c r="AD132" s="436"/>
      <c r="AE132" s="436"/>
      <c r="AF132" s="436"/>
      <c r="AG132" s="436"/>
      <c r="AH132" s="436"/>
      <c r="AI132" s="436"/>
      <c r="AJ132" s="436"/>
      <c r="AK132" s="436"/>
      <c r="AL132" s="436"/>
      <c r="AM132" s="436"/>
      <c r="AN132" s="436"/>
      <c r="AO132" s="436"/>
      <c r="AP132" s="436"/>
      <c r="AQ132" s="436"/>
      <c r="AR132" s="436"/>
      <c r="AS132" s="436"/>
      <c r="AT132" s="436"/>
      <c r="AU132" s="436"/>
      <c r="AV132" s="436"/>
      <c r="AW132" s="436"/>
      <c r="AX132" s="436"/>
      <c r="AY132" s="436"/>
      <c r="AZ132" s="436"/>
      <c r="BA132" s="436"/>
      <c r="BB132" s="436"/>
      <c r="BC132" s="436"/>
      <c r="BD132" s="436"/>
      <c r="BE132" s="436"/>
      <c r="BF132" s="436"/>
      <c r="BG132" s="436"/>
      <c r="BH132" s="436"/>
      <c r="BI132" s="436"/>
      <c r="BJ132" s="436"/>
      <c r="BK132" s="436"/>
      <c r="BL132" s="436"/>
      <c r="BM132" s="436"/>
      <c r="BN132" s="436"/>
      <c r="BO132" s="436"/>
      <c r="BP132" s="436"/>
      <c r="BQ132" s="436"/>
      <c r="BR132" s="436"/>
      <c r="BS132" s="436"/>
      <c r="BT132" s="436"/>
      <c r="BU132" s="436"/>
      <c r="BV132" s="436"/>
      <c r="BW132" s="436"/>
      <c r="BX132" s="436"/>
      <c r="BY132" s="436"/>
      <c r="BZ132" s="436"/>
      <c r="CA132" s="436"/>
      <c r="CB132" s="436"/>
      <c r="CC132" s="436"/>
      <c r="CD132" s="436"/>
      <c r="CE132" s="437">
        <f>SUM(IF(COLUMN($C132:$CD132)&lt;(3+'2、试卷（期末）'!$B$2),$C132:$CD132,))</f>
        <v>0</v>
      </c>
      <c r="CF132" s="437">
        <f>SUM(IF(COLUMN($C132:$CD132)&lt;(3+SUM('2、试卷（期末）'!$B$2:$B$3)),$C132:$CD132,))-$CE132</f>
        <v>0</v>
      </c>
      <c r="CG132" s="437">
        <f>SUM(IF(COLUMN($C132:$CD132)&lt;(3+SUM('2、试卷（期末）'!$B$2:$B$4)),$C132:$CD132,))-SUM($CE132:$CF132)</f>
        <v>0</v>
      </c>
      <c r="CH132" s="437">
        <f>SUM(IF(COLUMN($C132:$CD132)&lt;(3+SUM('2、试卷（期末）'!$B$2:$B$5)),$C132:$CD132,))-SUM($CE132:$CG132)</f>
        <v>0</v>
      </c>
      <c r="CI132" s="437">
        <f>SUM(IF(COLUMN($C132:$CD132)&lt;(3+SUM('2、试卷（期末）'!$B$2:$B$6)),$C132:$CD132,))-SUM($CE132:$CH132)</f>
        <v>0</v>
      </c>
      <c r="CJ132" s="437">
        <f>SUM(IF(COLUMN($C132:$CD132)&lt;(3+SUM('2、试卷（期末）'!$B$2:$B$7)),$C132:$CD132,))-SUM($CE132:$CI132)</f>
        <v>0</v>
      </c>
      <c r="CK132" s="437">
        <f>SUM(IF(COLUMN($C132:$CD132)&lt;(3+SUM('2、试卷（期末）'!$B$2:$B$8)),$C132:$CD132,))-SUM($CE132:$CJ132)</f>
        <v>0</v>
      </c>
      <c r="CL132" s="437">
        <f>SUM(IF(COLUMN($C132:$CD132)&lt;(3+SUM('2、试卷（期末）'!$B$2:$B$9)),$C132:$CD132,))-SUM($CE132:$CK132)</f>
        <v>0</v>
      </c>
      <c r="CM132" s="437">
        <f>SUM(IF(COLUMN($C132:$CD132)&lt;(3+SUM('2、试卷（期末）'!$B$2:$B$10)),$C132:$CD132,))-SUM($CE132:$CL132)</f>
        <v>0</v>
      </c>
      <c r="CN132" s="437">
        <f>SUM(IF(COLUMN($C132:$CD132)&lt;(3+SUM('2、试卷（期末）'!$B$2:$B$11)),$C132:$CD132,))-SUM($CE132:$CM132)</f>
        <v>0</v>
      </c>
      <c r="CO132" s="437">
        <f t="shared" si="4"/>
        <v>0</v>
      </c>
      <c r="CP132" s="438">
        <f ca="1">ROUND(CO132*'1、课程目标与考核方式'!$H$13/100+IF(ISERROR(VLOOKUP(A132,'4、平时成绩'!$A$2:$H$201,8,FALSE)),0,VLOOKUP(A132,'4、平时成绩'!$A$2:$H$201,8,FALSE)),0)</f>
        <v>0</v>
      </c>
    </row>
    <row r="133" s="32" customFormat="1" spans="1:94">
      <c r="A133" s="443"/>
      <c r="B133" s="443"/>
      <c r="C133" s="436"/>
      <c r="D133" s="436"/>
      <c r="E133" s="436"/>
      <c r="F133" s="436"/>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6"/>
      <c r="AD133" s="436"/>
      <c r="AE133" s="436"/>
      <c r="AF133" s="436"/>
      <c r="AG133" s="436"/>
      <c r="AH133" s="436"/>
      <c r="AI133" s="436"/>
      <c r="AJ133" s="436"/>
      <c r="AK133" s="436"/>
      <c r="AL133" s="436"/>
      <c r="AM133" s="436"/>
      <c r="AN133" s="436"/>
      <c r="AO133" s="436"/>
      <c r="AP133" s="436"/>
      <c r="AQ133" s="436"/>
      <c r="AR133" s="436"/>
      <c r="AS133" s="436"/>
      <c r="AT133" s="436"/>
      <c r="AU133" s="436"/>
      <c r="AV133" s="436"/>
      <c r="AW133" s="436"/>
      <c r="AX133" s="436"/>
      <c r="AY133" s="436"/>
      <c r="AZ133" s="436"/>
      <c r="BA133" s="436"/>
      <c r="BB133" s="436"/>
      <c r="BC133" s="436"/>
      <c r="BD133" s="436"/>
      <c r="BE133" s="436"/>
      <c r="BF133" s="436"/>
      <c r="BG133" s="436"/>
      <c r="BH133" s="436"/>
      <c r="BI133" s="436"/>
      <c r="BJ133" s="436"/>
      <c r="BK133" s="436"/>
      <c r="BL133" s="436"/>
      <c r="BM133" s="436"/>
      <c r="BN133" s="436"/>
      <c r="BO133" s="436"/>
      <c r="BP133" s="436"/>
      <c r="BQ133" s="436"/>
      <c r="BR133" s="436"/>
      <c r="BS133" s="436"/>
      <c r="BT133" s="436"/>
      <c r="BU133" s="436"/>
      <c r="BV133" s="436"/>
      <c r="BW133" s="436"/>
      <c r="BX133" s="436"/>
      <c r="BY133" s="436"/>
      <c r="BZ133" s="436"/>
      <c r="CA133" s="436"/>
      <c r="CB133" s="436"/>
      <c r="CC133" s="436"/>
      <c r="CD133" s="436"/>
      <c r="CE133" s="437">
        <f>SUM(IF(COLUMN($C133:$CD133)&lt;(3+'2、试卷（期末）'!$B$2),$C133:$CD133,))</f>
        <v>0</v>
      </c>
      <c r="CF133" s="437">
        <f>SUM(IF(COLUMN($C133:$CD133)&lt;(3+SUM('2、试卷（期末）'!$B$2:$B$3)),$C133:$CD133,))-$CE133</f>
        <v>0</v>
      </c>
      <c r="CG133" s="437">
        <f>SUM(IF(COLUMN($C133:$CD133)&lt;(3+SUM('2、试卷（期末）'!$B$2:$B$4)),$C133:$CD133,))-SUM($CE133:$CF133)</f>
        <v>0</v>
      </c>
      <c r="CH133" s="437">
        <f>SUM(IF(COLUMN($C133:$CD133)&lt;(3+SUM('2、试卷（期末）'!$B$2:$B$5)),$C133:$CD133,))-SUM($CE133:$CG133)</f>
        <v>0</v>
      </c>
      <c r="CI133" s="437">
        <f>SUM(IF(COLUMN($C133:$CD133)&lt;(3+SUM('2、试卷（期末）'!$B$2:$B$6)),$C133:$CD133,))-SUM($CE133:$CH133)</f>
        <v>0</v>
      </c>
      <c r="CJ133" s="437">
        <f>SUM(IF(COLUMN($C133:$CD133)&lt;(3+SUM('2、试卷（期末）'!$B$2:$B$7)),$C133:$CD133,))-SUM($CE133:$CI133)</f>
        <v>0</v>
      </c>
      <c r="CK133" s="437">
        <f>SUM(IF(COLUMN($C133:$CD133)&lt;(3+SUM('2、试卷（期末）'!$B$2:$B$8)),$C133:$CD133,))-SUM($CE133:$CJ133)</f>
        <v>0</v>
      </c>
      <c r="CL133" s="437">
        <f>SUM(IF(COLUMN($C133:$CD133)&lt;(3+SUM('2、试卷（期末）'!$B$2:$B$9)),$C133:$CD133,))-SUM($CE133:$CK133)</f>
        <v>0</v>
      </c>
      <c r="CM133" s="437">
        <f>SUM(IF(COLUMN($C133:$CD133)&lt;(3+SUM('2、试卷（期末）'!$B$2:$B$10)),$C133:$CD133,))-SUM($CE133:$CL133)</f>
        <v>0</v>
      </c>
      <c r="CN133" s="437">
        <f>SUM(IF(COLUMN($C133:$CD133)&lt;(3+SUM('2、试卷（期末）'!$B$2:$B$11)),$C133:$CD133,))-SUM($CE133:$CM133)</f>
        <v>0</v>
      </c>
      <c r="CO133" s="437">
        <f t="shared" si="4"/>
        <v>0</v>
      </c>
      <c r="CP133" s="438">
        <f ca="1">ROUND(CO133*'1、课程目标与考核方式'!$H$13/100+IF(ISERROR(VLOOKUP(A133,'4、平时成绩'!$A$2:$H$201,8,FALSE)),0,VLOOKUP(A133,'4、平时成绩'!$A$2:$H$201,8,FALSE)),0)</f>
        <v>0</v>
      </c>
    </row>
    <row r="134" s="32" customFormat="1" spans="1:94">
      <c r="A134" s="443"/>
      <c r="B134" s="443"/>
      <c r="C134" s="436"/>
      <c r="D134" s="436"/>
      <c r="E134" s="436"/>
      <c r="F134" s="436"/>
      <c r="G134" s="436"/>
      <c r="H134" s="436"/>
      <c r="I134" s="436"/>
      <c r="J134" s="436"/>
      <c r="K134" s="436"/>
      <c r="L134" s="436"/>
      <c r="M134" s="436"/>
      <c r="N134" s="436"/>
      <c r="O134" s="436"/>
      <c r="P134" s="436"/>
      <c r="Q134" s="436"/>
      <c r="R134" s="436"/>
      <c r="S134" s="436"/>
      <c r="T134" s="436"/>
      <c r="U134" s="436"/>
      <c r="V134" s="436"/>
      <c r="W134" s="436"/>
      <c r="X134" s="436"/>
      <c r="Y134" s="436"/>
      <c r="Z134" s="436"/>
      <c r="AA134" s="436"/>
      <c r="AB134" s="436"/>
      <c r="AC134" s="436"/>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6"/>
      <c r="AY134" s="436"/>
      <c r="AZ134" s="436"/>
      <c r="BA134" s="436"/>
      <c r="BB134" s="436"/>
      <c r="BC134" s="436"/>
      <c r="BD134" s="436"/>
      <c r="BE134" s="436"/>
      <c r="BF134" s="436"/>
      <c r="BG134" s="436"/>
      <c r="BH134" s="436"/>
      <c r="BI134" s="436"/>
      <c r="BJ134" s="436"/>
      <c r="BK134" s="436"/>
      <c r="BL134" s="436"/>
      <c r="BM134" s="436"/>
      <c r="BN134" s="436"/>
      <c r="BO134" s="436"/>
      <c r="BP134" s="436"/>
      <c r="BQ134" s="436"/>
      <c r="BR134" s="436"/>
      <c r="BS134" s="436"/>
      <c r="BT134" s="436"/>
      <c r="BU134" s="436"/>
      <c r="BV134" s="436"/>
      <c r="BW134" s="436"/>
      <c r="BX134" s="436"/>
      <c r="BY134" s="436"/>
      <c r="BZ134" s="436"/>
      <c r="CA134" s="436"/>
      <c r="CB134" s="436"/>
      <c r="CC134" s="436"/>
      <c r="CD134" s="436"/>
      <c r="CE134" s="437">
        <f>SUM(IF(COLUMN($C134:$CD134)&lt;(3+'2、试卷（期末）'!$B$2),$C134:$CD134,))</f>
        <v>0</v>
      </c>
      <c r="CF134" s="437">
        <f>SUM(IF(COLUMN($C134:$CD134)&lt;(3+SUM('2、试卷（期末）'!$B$2:$B$3)),$C134:$CD134,))-$CE134</f>
        <v>0</v>
      </c>
      <c r="CG134" s="437">
        <f>SUM(IF(COLUMN($C134:$CD134)&lt;(3+SUM('2、试卷（期末）'!$B$2:$B$4)),$C134:$CD134,))-SUM($CE134:$CF134)</f>
        <v>0</v>
      </c>
      <c r="CH134" s="437">
        <f>SUM(IF(COLUMN($C134:$CD134)&lt;(3+SUM('2、试卷（期末）'!$B$2:$B$5)),$C134:$CD134,))-SUM($CE134:$CG134)</f>
        <v>0</v>
      </c>
      <c r="CI134" s="437">
        <f>SUM(IF(COLUMN($C134:$CD134)&lt;(3+SUM('2、试卷（期末）'!$B$2:$B$6)),$C134:$CD134,))-SUM($CE134:$CH134)</f>
        <v>0</v>
      </c>
      <c r="CJ134" s="437">
        <f>SUM(IF(COLUMN($C134:$CD134)&lt;(3+SUM('2、试卷（期末）'!$B$2:$B$7)),$C134:$CD134,))-SUM($CE134:$CI134)</f>
        <v>0</v>
      </c>
      <c r="CK134" s="437">
        <f>SUM(IF(COLUMN($C134:$CD134)&lt;(3+SUM('2、试卷（期末）'!$B$2:$B$8)),$C134:$CD134,))-SUM($CE134:$CJ134)</f>
        <v>0</v>
      </c>
      <c r="CL134" s="437">
        <f>SUM(IF(COLUMN($C134:$CD134)&lt;(3+SUM('2、试卷（期末）'!$B$2:$B$9)),$C134:$CD134,))-SUM($CE134:$CK134)</f>
        <v>0</v>
      </c>
      <c r="CM134" s="437">
        <f>SUM(IF(COLUMN($C134:$CD134)&lt;(3+SUM('2、试卷（期末）'!$B$2:$B$10)),$C134:$CD134,))-SUM($CE134:$CL134)</f>
        <v>0</v>
      </c>
      <c r="CN134" s="437">
        <f>SUM(IF(COLUMN($C134:$CD134)&lt;(3+SUM('2、试卷（期末）'!$B$2:$B$11)),$C134:$CD134,))-SUM($CE134:$CM134)</f>
        <v>0</v>
      </c>
      <c r="CO134" s="437">
        <f t="shared" si="4"/>
        <v>0</v>
      </c>
      <c r="CP134" s="438">
        <f ca="1">ROUND(CO134*'1、课程目标与考核方式'!$H$13/100+IF(ISERROR(VLOOKUP(A134,'4、平时成绩'!$A$2:$H$201,8,FALSE)),0,VLOOKUP(A134,'4、平时成绩'!$A$2:$H$201,8,FALSE)),0)</f>
        <v>0</v>
      </c>
    </row>
    <row r="135" s="32" customFormat="1" spans="1:94">
      <c r="A135" s="443"/>
      <c r="B135" s="443"/>
      <c r="C135" s="436"/>
      <c r="D135" s="436"/>
      <c r="E135" s="436"/>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6"/>
      <c r="AL135" s="436"/>
      <c r="AM135" s="436"/>
      <c r="AN135" s="436"/>
      <c r="AO135" s="436"/>
      <c r="AP135" s="436"/>
      <c r="AQ135" s="436"/>
      <c r="AR135" s="436"/>
      <c r="AS135" s="436"/>
      <c r="AT135" s="436"/>
      <c r="AU135" s="436"/>
      <c r="AV135" s="436"/>
      <c r="AW135" s="436"/>
      <c r="AX135" s="436"/>
      <c r="AY135" s="436"/>
      <c r="AZ135" s="436"/>
      <c r="BA135" s="436"/>
      <c r="BB135" s="436"/>
      <c r="BC135" s="436"/>
      <c r="BD135" s="436"/>
      <c r="BE135" s="436"/>
      <c r="BF135" s="436"/>
      <c r="BG135" s="436"/>
      <c r="BH135" s="436"/>
      <c r="BI135" s="436"/>
      <c r="BJ135" s="436"/>
      <c r="BK135" s="436"/>
      <c r="BL135" s="436"/>
      <c r="BM135" s="436"/>
      <c r="BN135" s="436"/>
      <c r="BO135" s="436"/>
      <c r="BP135" s="436"/>
      <c r="BQ135" s="436"/>
      <c r="BR135" s="436"/>
      <c r="BS135" s="436"/>
      <c r="BT135" s="436"/>
      <c r="BU135" s="436"/>
      <c r="BV135" s="436"/>
      <c r="BW135" s="436"/>
      <c r="BX135" s="436"/>
      <c r="BY135" s="436"/>
      <c r="BZ135" s="436"/>
      <c r="CA135" s="436"/>
      <c r="CB135" s="436"/>
      <c r="CC135" s="436"/>
      <c r="CD135" s="436"/>
      <c r="CE135" s="437">
        <f>SUM(IF(COLUMN($C135:$CD135)&lt;(3+'2、试卷（期末）'!$B$2),$C135:$CD135,))</f>
        <v>0</v>
      </c>
      <c r="CF135" s="437">
        <f>SUM(IF(COLUMN($C135:$CD135)&lt;(3+SUM('2、试卷（期末）'!$B$2:$B$3)),$C135:$CD135,))-$CE135</f>
        <v>0</v>
      </c>
      <c r="CG135" s="437">
        <f>SUM(IF(COLUMN($C135:$CD135)&lt;(3+SUM('2、试卷（期末）'!$B$2:$B$4)),$C135:$CD135,))-SUM($CE135:$CF135)</f>
        <v>0</v>
      </c>
      <c r="CH135" s="437">
        <f>SUM(IF(COLUMN($C135:$CD135)&lt;(3+SUM('2、试卷（期末）'!$B$2:$B$5)),$C135:$CD135,))-SUM($CE135:$CG135)</f>
        <v>0</v>
      </c>
      <c r="CI135" s="437">
        <f>SUM(IF(COLUMN($C135:$CD135)&lt;(3+SUM('2、试卷（期末）'!$B$2:$B$6)),$C135:$CD135,))-SUM($CE135:$CH135)</f>
        <v>0</v>
      </c>
      <c r="CJ135" s="437">
        <f>SUM(IF(COLUMN($C135:$CD135)&lt;(3+SUM('2、试卷（期末）'!$B$2:$B$7)),$C135:$CD135,))-SUM($CE135:$CI135)</f>
        <v>0</v>
      </c>
      <c r="CK135" s="437">
        <f>SUM(IF(COLUMN($C135:$CD135)&lt;(3+SUM('2、试卷（期末）'!$B$2:$B$8)),$C135:$CD135,))-SUM($CE135:$CJ135)</f>
        <v>0</v>
      </c>
      <c r="CL135" s="437">
        <f>SUM(IF(COLUMN($C135:$CD135)&lt;(3+SUM('2、试卷（期末）'!$B$2:$B$9)),$C135:$CD135,))-SUM($CE135:$CK135)</f>
        <v>0</v>
      </c>
      <c r="CM135" s="437">
        <f>SUM(IF(COLUMN($C135:$CD135)&lt;(3+SUM('2、试卷（期末）'!$B$2:$B$10)),$C135:$CD135,))-SUM($CE135:$CL135)</f>
        <v>0</v>
      </c>
      <c r="CN135" s="437">
        <f>SUM(IF(COLUMN($C135:$CD135)&lt;(3+SUM('2、试卷（期末）'!$B$2:$B$11)),$C135:$CD135,))-SUM($CE135:$CM135)</f>
        <v>0</v>
      </c>
      <c r="CO135" s="437">
        <f t="shared" si="4"/>
        <v>0</v>
      </c>
      <c r="CP135" s="438">
        <f ca="1">ROUND(CO135*'1、课程目标与考核方式'!$H$13/100+IF(ISERROR(VLOOKUP(A135,'4、平时成绩'!$A$2:$H$201,8,FALSE)),0,VLOOKUP(A135,'4、平时成绩'!$A$2:$H$201,8,FALSE)),0)</f>
        <v>0</v>
      </c>
    </row>
    <row r="136" s="32" customFormat="1" spans="1:94">
      <c r="A136" s="443"/>
      <c r="B136" s="443"/>
      <c r="C136" s="436"/>
      <c r="D136" s="436"/>
      <c r="E136" s="436"/>
      <c r="F136" s="436"/>
      <c r="G136" s="436"/>
      <c r="H136" s="436"/>
      <c r="I136" s="436"/>
      <c r="J136" s="436"/>
      <c r="K136" s="436"/>
      <c r="L136" s="436"/>
      <c r="M136" s="436"/>
      <c r="N136" s="436"/>
      <c r="O136" s="436"/>
      <c r="P136" s="436"/>
      <c r="Q136" s="436"/>
      <c r="R136" s="436"/>
      <c r="S136" s="436"/>
      <c r="T136" s="436"/>
      <c r="U136" s="436"/>
      <c r="V136" s="436"/>
      <c r="W136" s="436"/>
      <c r="X136" s="436"/>
      <c r="Y136" s="436"/>
      <c r="Z136" s="436"/>
      <c r="AA136" s="436"/>
      <c r="AB136" s="436"/>
      <c r="AC136" s="436"/>
      <c r="AD136" s="436"/>
      <c r="AE136" s="436"/>
      <c r="AF136" s="436"/>
      <c r="AG136" s="436"/>
      <c r="AH136" s="436"/>
      <c r="AI136" s="436"/>
      <c r="AJ136" s="436"/>
      <c r="AK136" s="436"/>
      <c r="AL136" s="436"/>
      <c r="AM136" s="436"/>
      <c r="AN136" s="436"/>
      <c r="AO136" s="436"/>
      <c r="AP136" s="436"/>
      <c r="AQ136" s="436"/>
      <c r="AR136" s="436"/>
      <c r="AS136" s="436"/>
      <c r="AT136" s="436"/>
      <c r="AU136" s="436"/>
      <c r="AV136" s="436"/>
      <c r="AW136" s="436"/>
      <c r="AX136" s="436"/>
      <c r="AY136" s="436"/>
      <c r="AZ136" s="436"/>
      <c r="BA136" s="436"/>
      <c r="BB136" s="436"/>
      <c r="BC136" s="436"/>
      <c r="BD136" s="436"/>
      <c r="BE136" s="436"/>
      <c r="BF136" s="436"/>
      <c r="BG136" s="436"/>
      <c r="BH136" s="436"/>
      <c r="BI136" s="436"/>
      <c r="BJ136" s="436"/>
      <c r="BK136" s="436"/>
      <c r="BL136" s="436"/>
      <c r="BM136" s="436"/>
      <c r="BN136" s="436"/>
      <c r="BO136" s="436"/>
      <c r="BP136" s="436"/>
      <c r="BQ136" s="436"/>
      <c r="BR136" s="436"/>
      <c r="BS136" s="436"/>
      <c r="BT136" s="436"/>
      <c r="BU136" s="436"/>
      <c r="BV136" s="436"/>
      <c r="BW136" s="436"/>
      <c r="BX136" s="436"/>
      <c r="BY136" s="436"/>
      <c r="BZ136" s="436"/>
      <c r="CA136" s="436"/>
      <c r="CB136" s="436"/>
      <c r="CC136" s="436"/>
      <c r="CD136" s="436"/>
      <c r="CE136" s="437">
        <f>SUM(IF(COLUMN($C136:$CD136)&lt;(3+'2、试卷（期末）'!$B$2),$C136:$CD136,))</f>
        <v>0</v>
      </c>
      <c r="CF136" s="437">
        <f>SUM(IF(COLUMN($C136:$CD136)&lt;(3+SUM('2、试卷（期末）'!$B$2:$B$3)),$C136:$CD136,))-$CE136</f>
        <v>0</v>
      </c>
      <c r="CG136" s="437">
        <f>SUM(IF(COLUMN($C136:$CD136)&lt;(3+SUM('2、试卷（期末）'!$B$2:$B$4)),$C136:$CD136,))-SUM($CE136:$CF136)</f>
        <v>0</v>
      </c>
      <c r="CH136" s="437">
        <f>SUM(IF(COLUMN($C136:$CD136)&lt;(3+SUM('2、试卷（期末）'!$B$2:$B$5)),$C136:$CD136,))-SUM($CE136:$CG136)</f>
        <v>0</v>
      </c>
      <c r="CI136" s="437">
        <f>SUM(IF(COLUMN($C136:$CD136)&lt;(3+SUM('2、试卷（期末）'!$B$2:$B$6)),$C136:$CD136,))-SUM($CE136:$CH136)</f>
        <v>0</v>
      </c>
      <c r="CJ136" s="437">
        <f>SUM(IF(COLUMN($C136:$CD136)&lt;(3+SUM('2、试卷（期末）'!$B$2:$B$7)),$C136:$CD136,))-SUM($CE136:$CI136)</f>
        <v>0</v>
      </c>
      <c r="CK136" s="437">
        <f>SUM(IF(COLUMN($C136:$CD136)&lt;(3+SUM('2、试卷（期末）'!$B$2:$B$8)),$C136:$CD136,))-SUM($CE136:$CJ136)</f>
        <v>0</v>
      </c>
      <c r="CL136" s="437">
        <f>SUM(IF(COLUMN($C136:$CD136)&lt;(3+SUM('2、试卷（期末）'!$B$2:$B$9)),$C136:$CD136,))-SUM($CE136:$CK136)</f>
        <v>0</v>
      </c>
      <c r="CM136" s="437">
        <f>SUM(IF(COLUMN($C136:$CD136)&lt;(3+SUM('2、试卷（期末）'!$B$2:$B$10)),$C136:$CD136,))-SUM($CE136:$CL136)</f>
        <v>0</v>
      </c>
      <c r="CN136" s="437">
        <f>SUM(IF(COLUMN($C136:$CD136)&lt;(3+SUM('2、试卷（期末）'!$B$2:$B$11)),$C136:$CD136,))-SUM($CE136:$CM136)</f>
        <v>0</v>
      </c>
      <c r="CO136" s="437">
        <f t="shared" si="4"/>
        <v>0</v>
      </c>
      <c r="CP136" s="438">
        <f ca="1">ROUND(CO136*'1、课程目标与考核方式'!$H$13/100+IF(ISERROR(VLOOKUP(A136,'4、平时成绩'!$A$2:$H$201,8,FALSE)),0,VLOOKUP(A136,'4、平时成绩'!$A$2:$H$201,8,FALSE)),0)</f>
        <v>0</v>
      </c>
    </row>
    <row r="137" s="32" customFormat="1" spans="1:94">
      <c r="A137" s="443"/>
      <c r="B137" s="443"/>
      <c r="C137" s="436"/>
      <c r="D137" s="436"/>
      <c r="E137" s="436"/>
      <c r="F137" s="436"/>
      <c r="G137" s="436"/>
      <c r="H137" s="436"/>
      <c r="I137" s="436"/>
      <c r="J137" s="436"/>
      <c r="K137" s="436"/>
      <c r="L137" s="436"/>
      <c r="M137" s="436"/>
      <c r="N137" s="436"/>
      <c r="O137" s="436"/>
      <c r="P137" s="436"/>
      <c r="Q137" s="436"/>
      <c r="R137" s="436"/>
      <c r="S137" s="436"/>
      <c r="T137" s="436"/>
      <c r="U137" s="436"/>
      <c r="V137" s="436"/>
      <c r="W137" s="436"/>
      <c r="X137" s="436"/>
      <c r="Y137" s="436"/>
      <c r="Z137" s="436"/>
      <c r="AA137" s="436"/>
      <c r="AB137" s="436"/>
      <c r="AC137" s="436"/>
      <c r="AD137" s="436"/>
      <c r="AE137" s="436"/>
      <c r="AF137" s="436"/>
      <c r="AG137" s="436"/>
      <c r="AH137" s="436"/>
      <c r="AI137" s="436"/>
      <c r="AJ137" s="436"/>
      <c r="AK137" s="436"/>
      <c r="AL137" s="436"/>
      <c r="AM137" s="436"/>
      <c r="AN137" s="436"/>
      <c r="AO137" s="436"/>
      <c r="AP137" s="436"/>
      <c r="AQ137" s="436"/>
      <c r="AR137" s="436"/>
      <c r="AS137" s="436"/>
      <c r="AT137" s="436"/>
      <c r="AU137" s="436"/>
      <c r="AV137" s="436"/>
      <c r="AW137" s="436"/>
      <c r="AX137" s="436"/>
      <c r="AY137" s="436"/>
      <c r="AZ137" s="436"/>
      <c r="BA137" s="436"/>
      <c r="BB137" s="436"/>
      <c r="BC137" s="436"/>
      <c r="BD137" s="436"/>
      <c r="BE137" s="436"/>
      <c r="BF137" s="436"/>
      <c r="BG137" s="436"/>
      <c r="BH137" s="436"/>
      <c r="BI137" s="436"/>
      <c r="BJ137" s="436"/>
      <c r="BK137" s="436"/>
      <c r="BL137" s="436"/>
      <c r="BM137" s="436"/>
      <c r="BN137" s="436"/>
      <c r="BO137" s="436"/>
      <c r="BP137" s="436"/>
      <c r="BQ137" s="436"/>
      <c r="BR137" s="436"/>
      <c r="BS137" s="436"/>
      <c r="BT137" s="436"/>
      <c r="BU137" s="436"/>
      <c r="BV137" s="436"/>
      <c r="BW137" s="436"/>
      <c r="BX137" s="436"/>
      <c r="BY137" s="436"/>
      <c r="BZ137" s="436"/>
      <c r="CA137" s="436"/>
      <c r="CB137" s="436"/>
      <c r="CC137" s="436"/>
      <c r="CD137" s="436"/>
      <c r="CE137" s="437">
        <f>SUM(IF(COLUMN($C137:$CD137)&lt;(3+'2、试卷（期末）'!$B$2),$C137:$CD137,))</f>
        <v>0</v>
      </c>
      <c r="CF137" s="437">
        <f>SUM(IF(COLUMN($C137:$CD137)&lt;(3+SUM('2、试卷（期末）'!$B$2:$B$3)),$C137:$CD137,))-$CE137</f>
        <v>0</v>
      </c>
      <c r="CG137" s="437">
        <f>SUM(IF(COLUMN($C137:$CD137)&lt;(3+SUM('2、试卷（期末）'!$B$2:$B$4)),$C137:$CD137,))-SUM($CE137:$CF137)</f>
        <v>0</v>
      </c>
      <c r="CH137" s="437">
        <f>SUM(IF(COLUMN($C137:$CD137)&lt;(3+SUM('2、试卷（期末）'!$B$2:$B$5)),$C137:$CD137,))-SUM($CE137:$CG137)</f>
        <v>0</v>
      </c>
      <c r="CI137" s="437">
        <f>SUM(IF(COLUMN($C137:$CD137)&lt;(3+SUM('2、试卷（期末）'!$B$2:$B$6)),$C137:$CD137,))-SUM($CE137:$CH137)</f>
        <v>0</v>
      </c>
      <c r="CJ137" s="437">
        <f>SUM(IF(COLUMN($C137:$CD137)&lt;(3+SUM('2、试卷（期末）'!$B$2:$B$7)),$C137:$CD137,))-SUM($CE137:$CI137)</f>
        <v>0</v>
      </c>
      <c r="CK137" s="437">
        <f>SUM(IF(COLUMN($C137:$CD137)&lt;(3+SUM('2、试卷（期末）'!$B$2:$B$8)),$C137:$CD137,))-SUM($CE137:$CJ137)</f>
        <v>0</v>
      </c>
      <c r="CL137" s="437">
        <f>SUM(IF(COLUMN($C137:$CD137)&lt;(3+SUM('2、试卷（期末）'!$B$2:$B$9)),$C137:$CD137,))-SUM($CE137:$CK137)</f>
        <v>0</v>
      </c>
      <c r="CM137" s="437">
        <f>SUM(IF(COLUMN($C137:$CD137)&lt;(3+SUM('2、试卷（期末）'!$B$2:$B$10)),$C137:$CD137,))-SUM($CE137:$CL137)</f>
        <v>0</v>
      </c>
      <c r="CN137" s="437">
        <f>SUM(IF(COLUMN($C137:$CD137)&lt;(3+SUM('2、试卷（期末）'!$B$2:$B$11)),$C137:$CD137,))-SUM($CE137:$CM137)</f>
        <v>0</v>
      </c>
      <c r="CO137" s="437">
        <f t="shared" si="4"/>
        <v>0</v>
      </c>
      <c r="CP137" s="438">
        <f ca="1">ROUND(CO137*'1、课程目标与考核方式'!$H$13/100+IF(ISERROR(VLOOKUP(A137,'4、平时成绩'!$A$2:$H$201,8,FALSE)),0,VLOOKUP(A137,'4、平时成绩'!$A$2:$H$201,8,FALSE)),0)</f>
        <v>0</v>
      </c>
    </row>
    <row r="138" s="32" customFormat="1" spans="1:94">
      <c r="A138" s="443"/>
      <c r="B138" s="443"/>
      <c r="C138" s="436"/>
      <c r="D138" s="436"/>
      <c r="E138" s="436"/>
      <c r="F138" s="436"/>
      <c r="G138" s="436"/>
      <c r="H138" s="436"/>
      <c r="I138" s="436"/>
      <c r="J138" s="436"/>
      <c r="K138" s="436"/>
      <c r="L138" s="436"/>
      <c r="M138" s="436"/>
      <c r="N138" s="436"/>
      <c r="O138" s="436"/>
      <c r="P138" s="436"/>
      <c r="Q138" s="436"/>
      <c r="R138" s="436"/>
      <c r="S138" s="436"/>
      <c r="T138" s="436"/>
      <c r="U138" s="436"/>
      <c r="V138" s="436"/>
      <c r="W138" s="436"/>
      <c r="X138" s="436"/>
      <c r="Y138" s="436"/>
      <c r="Z138" s="436"/>
      <c r="AA138" s="436"/>
      <c r="AB138" s="436"/>
      <c r="AC138" s="436"/>
      <c r="AD138" s="436"/>
      <c r="AE138" s="436"/>
      <c r="AF138" s="436"/>
      <c r="AG138" s="436"/>
      <c r="AH138" s="436"/>
      <c r="AI138" s="436"/>
      <c r="AJ138" s="436"/>
      <c r="AK138" s="436"/>
      <c r="AL138" s="436"/>
      <c r="AM138" s="436"/>
      <c r="AN138" s="436"/>
      <c r="AO138" s="436"/>
      <c r="AP138" s="436"/>
      <c r="AQ138" s="436"/>
      <c r="AR138" s="436"/>
      <c r="AS138" s="436"/>
      <c r="AT138" s="436"/>
      <c r="AU138" s="436"/>
      <c r="AV138" s="436"/>
      <c r="AW138" s="436"/>
      <c r="AX138" s="436"/>
      <c r="AY138" s="436"/>
      <c r="AZ138" s="436"/>
      <c r="BA138" s="436"/>
      <c r="BB138" s="436"/>
      <c r="BC138" s="436"/>
      <c r="BD138" s="436"/>
      <c r="BE138" s="436"/>
      <c r="BF138" s="436"/>
      <c r="BG138" s="436"/>
      <c r="BH138" s="436"/>
      <c r="BI138" s="436"/>
      <c r="BJ138" s="436"/>
      <c r="BK138" s="436"/>
      <c r="BL138" s="436"/>
      <c r="BM138" s="436"/>
      <c r="BN138" s="436"/>
      <c r="BO138" s="436"/>
      <c r="BP138" s="436"/>
      <c r="BQ138" s="436"/>
      <c r="BR138" s="436"/>
      <c r="BS138" s="436"/>
      <c r="BT138" s="436"/>
      <c r="BU138" s="436"/>
      <c r="BV138" s="436"/>
      <c r="BW138" s="436"/>
      <c r="BX138" s="436"/>
      <c r="BY138" s="436"/>
      <c r="BZ138" s="436"/>
      <c r="CA138" s="436"/>
      <c r="CB138" s="436"/>
      <c r="CC138" s="436"/>
      <c r="CD138" s="436"/>
      <c r="CE138" s="437">
        <f>SUM(IF(COLUMN($C138:$CD138)&lt;(3+'2、试卷（期末）'!$B$2),$C138:$CD138,))</f>
        <v>0</v>
      </c>
      <c r="CF138" s="437">
        <f>SUM(IF(COLUMN($C138:$CD138)&lt;(3+SUM('2、试卷（期末）'!$B$2:$B$3)),$C138:$CD138,))-$CE138</f>
        <v>0</v>
      </c>
      <c r="CG138" s="437">
        <f>SUM(IF(COLUMN($C138:$CD138)&lt;(3+SUM('2、试卷（期末）'!$B$2:$B$4)),$C138:$CD138,))-SUM($CE138:$CF138)</f>
        <v>0</v>
      </c>
      <c r="CH138" s="437">
        <f>SUM(IF(COLUMN($C138:$CD138)&lt;(3+SUM('2、试卷（期末）'!$B$2:$B$5)),$C138:$CD138,))-SUM($CE138:$CG138)</f>
        <v>0</v>
      </c>
      <c r="CI138" s="437">
        <f>SUM(IF(COLUMN($C138:$CD138)&lt;(3+SUM('2、试卷（期末）'!$B$2:$B$6)),$C138:$CD138,))-SUM($CE138:$CH138)</f>
        <v>0</v>
      </c>
      <c r="CJ138" s="437">
        <f>SUM(IF(COLUMN($C138:$CD138)&lt;(3+SUM('2、试卷（期末）'!$B$2:$B$7)),$C138:$CD138,))-SUM($CE138:$CI138)</f>
        <v>0</v>
      </c>
      <c r="CK138" s="437">
        <f>SUM(IF(COLUMN($C138:$CD138)&lt;(3+SUM('2、试卷（期末）'!$B$2:$B$8)),$C138:$CD138,))-SUM($CE138:$CJ138)</f>
        <v>0</v>
      </c>
      <c r="CL138" s="437">
        <f>SUM(IF(COLUMN($C138:$CD138)&lt;(3+SUM('2、试卷（期末）'!$B$2:$B$9)),$C138:$CD138,))-SUM($CE138:$CK138)</f>
        <v>0</v>
      </c>
      <c r="CM138" s="437">
        <f>SUM(IF(COLUMN($C138:$CD138)&lt;(3+SUM('2、试卷（期末）'!$B$2:$B$10)),$C138:$CD138,))-SUM($CE138:$CL138)</f>
        <v>0</v>
      </c>
      <c r="CN138" s="437">
        <f>SUM(IF(COLUMN($C138:$CD138)&lt;(3+SUM('2、试卷（期末）'!$B$2:$B$11)),$C138:$CD138,))-SUM($CE138:$CM138)</f>
        <v>0</v>
      </c>
      <c r="CO138" s="437">
        <f t="shared" si="4"/>
        <v>0</v>
      </c>
      <c r="CP138" s="438">
        <f ca="1">ROUND(CO138*'1、课程目标与考核方式'!$H$13/100+IF(ISERROR(VLOOKUP(A138,'4、平时成绩'!$A$2:$H$201,8,FALSE)),0,VLOOKUP(A138,'4、平时成绩'!$A$2:$H$201,8,FALSE)),0)</f>
        <v>0</v>
      </c>
    </row>
    <row r="139" s="32" customFormat="1" spans="1:94">
      <c r="A139" s="443"/>
      <c r="B139" s="443"/>
      <c r="C139" s="436"/>
      <c r="D139" s="436"/>
      <c r="E139" s="436"/>
      <c r="F139" s="436"/>
      <c r="G139" s="436"/>
      <c r="H139" s="436"/>
      <c r="I139" s="436"/>
      <c r="J139" s="436"/>
      <c r="K139" s="436"/>
      <c r="L139" s="436"/>
      <c r="M139" s="436"/>
      <c r="N139" s="436"/>
      <c r="O139" s="436"/>
      <c r="P139" s="436"/>
      <c r="Q139" s="436"/>
      <c r="R139" s="436"/>
      <c r="S139" s="436"/>
      <c r="T139" s="436"/>
      <c r="U139" s="436"/>
      <c r="V139" s="436"/>
      <c r="W139" s="436"/>
      <c r="X139" s="436"/>
      <c r="Y139" s="436"/>
      <c r="Z139" s="436"/>
      <c r="AA139" s="436"/>
      <c r="AB139" s="436"/>
      <c r="AC139" s="436"/>
      <c r="AD139" s="436"/>
      <c r="AE139" s="436"/>
      <c r="AF139" s="436"/>
      <c r="AG139" s="436"/>
      <c r="AH139" s="436"/>
      <c r="AI139" s="436"/>
      <c r="AJ139" s="436"/>
      <c r="AK139" s="436"/>
      <c r="AL139" s="436"/>
      <c r="AM139" s="436"/>
      <c r="AN139" s="436"/>
      <c r="AO139" s="436"/>
      <c r="AP139" s="436"/>
      <c r="AQ139" s="436"/>
      <c r="AR139" s="436"/>
      <c r="AS139" s="436"/>
      <c r="AT139" s="436"/>
      <c r="AU139" s="436"/>
      <c r="AV139" s="436"/>
      <c r="AW139" s="436"/>
      <c r="AX139" s="436"/>
      <c r="AY139" s="436"/>
      <c r="AZ139" s="436"/>
      <c r="BA139" s="436"/>
      <c r="BB139" s="436"/>
      <c r="BC139" s="436"/>
      <c r="BD139" s="436"/>
      <c r="BE139" s="436"/>
      <c r="BF139" s="436"/>
      <c r="BG139" s="436"/>
      <c r="BH139" s="436"/>
      <c r="BI139" s="436"/>
      <c r="BJ139" s="436"/>
      <c r="BK139" s="436"/>
      <c r="BL139" s="436"/>
      <c r="BM139" s="436"/>
      <c r="BN139" s="436"/>
      <c r="BO139" s="436"/>
      <c r="BP139" s="436"/>
      <c r="BQ139" s="436"/>
      <c r="BR139" s="436"/>
      <c r="BS139" s="436"/>
      <c r="BT139" s="436"/>
      <c r="BU139" s="436"/>
      <c r="BV139" s="436"/>
      <c r="BW139" s="436"/>
      <c r="BX139" s="436"/>
      <c r="BY139" s="436"/>
      <c r="BZ139" s="436"/>
      <c r="CA139" s="436"/>
      <c r="CB139" s="436"/>
      <c r="CC139" s="436"/>
      <c r="CD139" s="436"/>
      <c r="CE139" s="437">
        <f>SUM(IF(COLUMN($C139:$CD139)&lt;(3+'2、试卷（期末）'!$B$2),$C139:$CD139,))</f>
        <v>0</v>
      </c>
      <c r="CF139" s="437">
        <f>SUM(IF(COLUMN($C139:$CD139)&lt;(3+SUM('2、试卷（期末）'!$B$2:$B$3)),$C139:$CD139,))-$CE139</f>
        <v>0</v>
      </c>
      <c r="CG139" s="437">
        <f>SUM(IF(COLUMN($C139:$CD139)&lt;(3+SUM('2、试卷（期末）'!$B$2:$B$4)),$C139:$CD139,))-SUM($CE139:$CF139)</f>
        <v>0</v>
      </c>
      <c r="CH139" s="437">
        <f>SUM(IF(COLUMN($C139:$CD139)&lt;(3+SUM('2、试卷（期末）'!$B$2:$B$5)),$C139:$CD139,))-SUM($CE139:$CG139)</f>
        <v>0</v>
      </c>
      <c r="CI139" s="437">
        <f>SUM(IF(COLUMN($C139:$CD139)&lt;(3+SUM('2、试卷（期末）'!$B$2:$B$6)),$C139:$CD139,))-SUM($CE139:$CH139)</f>
        <v>0</v>
      </c>
      <c r="CJ139" s="437">
        <f>SUM(IF(COLUMN($C139:$CD139)&lt;(3+SUM('2、试卷（期末）'!$B$2:$B$7)),$C139:$CD139,))-SUM($CE139:$CI139)</f>
        <v>0</v>
      </c>
      <c r="CK139" s="437">
        <f>SUM(IF(COLUMN($C139:$CD139)&lt;(3+SUM('2、试卷（期末）'!$B$2:$B$8)),$C139:$CD139,))-SUM($CE139:$CJ139)</f>
        <v>0</v>
      </c>
      <c r="CL139" s="437">
        <f>SUM(IF(COLUMN($C139:$CD139)&lt;(3+SUM('2、试卷（期末）'!$B$2:$B$9)),$C139:$CD139,))-SUM($CE139:$CK139)</f>
        <v>0</v>
      </c>
      <c r="CM139" s="437">
        <f>SUM(IF(COLUMN($C139:$CD139)&lt;(3+SUM('2、试卷（期末）'!$B$2:$B$10)),$C139:$CD139,))-SUM($CE139:$CL139)</f>
        <v>0</v>
      </c>
      <c r="CN139" s="437">
        <f>SUM(IF(COLUMN($C139:$CD139)&lt;(3+SUM('2、试卷（期末）'!$B$2:$B$11)),$C139:$CD139,))-SUM($CE139:$CM139)</f>
        <v>0</v>
      </c>
      <c r="CO139" s="437">
        <f t="shared" si="4"/>
        <v>0</v>
      </c>
      <c r="CP139" s="438">
        <f ca="1">ROUND(CO139*'1、课程目标与考核方式'!$H$13/100+IF(ISERROR(VLOOKUP(A139,'4、平时成绩'!$A$2:$H$201,8,FALSE)),0,VLOOKUP(A139,'4、平时成绩'!$A$2:$H$201,8,FALSE)),0)</f>
        <v>0</v>
      </c>
    </row>
    <row r="140" s="32" customFormat="1" spans="1:94">
      <c r="A140" s="443"/>
      <c r="B140" s="443"/>
      <c r="C140" s="436"/>
      <c r="D140" s="436"/>
      <c r="E140" s="436"/>
      <c r="F140" s="436"/>
      <c r="G140" s="436"/>
      <c r="H140" s="436"/>
      <c r="I140" s="436"/>
      <c r="J140" s="436"/>
      <c r="K140" s="436"/>
      <c r="L140" s="436"/>
      <c r="M140" s="436"/>
      <c r="N140" s="436"/>
      <c r="O140" s="436"/>
      <c r="P140" s="436"/>
      <c r="Q140" s="436"/>
      <c r="R140" s="436"/>
      <c r="S140" s="436"/>
      <c r="T140" s="436"/>
      <c r="U140" s="436"/>
      <c r="V140" s="436"/>
      <c r="W140" s="436"/>
      <c r="X140" s="436"/>
      <c r="Y140" s="436"/>
      <c r="Z140" s="436"/>
      <c r="AA140" s="436"/>
      <c r="AB140" s="436"/>
      <c r="AC140" s="436"/>
      <c r="AD140" s="436"/>
      <c r="AE140" s="436"/>
      <c r="AF140" s="436"/>
      <c r="AG140" s="436"/>
      <c r="AH140" s="436"/>
      <c r="AI140" s="436"/>
      <c r="AJ140" s="436"/>
      <c r="AK140" s="436"/>
      <c r="AL140" s="436"/>
      <c r="AM140" s="436"/>
      <c r="AN140" s="436"/>
      <c r="AO140" s="436"/>
      <c r="AP140" s="436"/>
      <c r="AQ140" s="436"/>
      <c r="AR140" s="436"/>
      <c r="AS140" s="436"/>
      <c r="AT140" s="436"/>
      <c r="AU140" s="436"/>
      <c r="AV140" s="436"/>
      <c r="AW140" s="436"/>
      <c r="AX140" s="436"/>
      <c r="AY140" s="436"/>
      <c r="AZ140" s="436"/>
      <c r="BA140" s="436"/>
      <c r="BB140" s="436"/>
      <c r="BC140" s="436"/>
      <c r="BD140" s="436"/>
      <c r="BE140" s="436"/>
      <c r="BF140" s="436"/>
      <c r="BG140" s="436"/>
      <c r="BH140" s="436"/>
      <c r="BI140" s="436"/>
      <c r="BJ140" s="436"/>
      <c r="BK140" s="436"/>
      <c r="BL140" s="436"/>
      <c r="BM140" s="436"/>
      <c r="BN140" s="436"/>
      <c r="BO140" s="436"/>
      <c r="BP140" s="436"/>
      <c r="BQ140" s="436"/>
      <c r="BR140" s="436"/>
      <c r="BS140" s="436"/>
      <c r="BT140" s="436"/>
      <c r="BU140" s="436"/>
      <c r="BV140" s="436"/>
      <c r="BW140" s="436"/>
      <c r="BX140" s="436"/>
      <c r="BY140" s="436"/>
      <c r="BZ140" s="436"/>
      <c r="CA140" s="436"/>
      <c r="CB140" s="436"/>
      <c r="CC140" s="436"/>
      <c r="CD140" s="436"/>
      <c r="CE140" s="437">
        <f>SUM(IF(COLUMN($C140:$CD140)&lt;(3+'2、试卷（期末）'!$B$2),$C140:$CD140,))</f>
        <v>0</v>
      </c>
      <c r="CF140" s="437">
        <f>SUM(IF(COLUMN($C140:$CD140)&lt;(3+SUM('2、试卷（期末）'!$B$2:$B$3)),$C140:$CD140,))-$CE140</f>
        <v>0</v>
      </c>
      <c r="CG140" s="437">
        <f>SUM(IF(COLUMN($C140:$CD140)&lt;(3+SUM('2、试卷（期末）'!$B$2:$B$4)),$C140:$CD140,))-SUM($CE140:$CF140)</f>
        <v>0</v>
      </c>
      <c r="CH140" s="437">
        <f>SUM(IF(COLUMN($C140:$CD140)&lt;(3+SUM('2、试卷（期末）'!$B$2:$B$5)),$C140:$CD140,))-SUM($CE140:$CG140)</f>
        <v>0</v>
      </c>
      <c r="CI140" s="437">
        <f>SUM(IF(COLUMN($C140:$CD140)&lt;(3+SUM('2、试卷（期末）'!$B$2:$B$6)),$C140:$CD140,))-SUM($CE140:$CH140)</f>
        <v>0</v>
      </c>
      <c r="CJ140" s="437">
        <f>SUM(IF(COLUMN($C140:$CD140)&lt;(3+SUM('2、试卷（期末）'!$B$2:$B$7)),$C140:$CD140,))-SUM($CE140:$CI140)</f>
        <v>0</v>
      </c>
      <c r="CK140" s="437">
        <f>SUM(IF(COLUMN($C140:$CD140)&lt;(3+SUM('2、试卷（期末）'!$B$2:$B$8)),$C140:$CD140,))-SUM($CE140:$CJ140)</f>
        <v>0</v>
      </c>
      <c r="CL140" s="437">
        <f>SUM(IF(COLUMN($C140:$CD140)&lt;(3+SUM('2、试卷（期末）'!$B$2:$B$9)),$C140:$CD140,))-SUM($CE140:$CK140)</f>
        <v>0</v>
      </c>
      <c r="CM140" s="437">
        <f>SUM(IF(COLUMN($C140:$CD140)&lt;(3+SUM('2、试卷（期末）'!$B$2:$B$10)),$C140:$CD140,))-SUM($CE140:$CL140)</f>
        <v>0</v>
      </c>
      <c r="CN140" s="437">
        <f>SUM(IF(COLUMN($C140:$CD140)&lt;(3+SUM('2、试卷（期末）'!$B$2:$B$11)),$C140:$CD140,))-SUM($CE140:$CM140)</f>
        <v>0</v>
      </c>
      <c r="CO140" s="437">
        <f t="shared" si="4"/>
        <v>0</v>
      </c>
      <c r="CP140" s="438">
        <f ca="1">ROUND(CO140*'1、课程目标与考核方式'!$H$13/100+IF(ISERROR(VLOOKUP(A140,'4、平时成绩'!$A$2:$H$201,8,FALSE)),0,VLOOKUP(A140,'4、平时成绩'!$A$2:$H$201,8,FALSE)),0)</f>
        <v>0</v>
      </c>
    </row>
    <row r="141" s="32" customFormat="1" spans="1:94">
      <c r="A141" s="443"/>
      <c r="B141" s="443"/>
      <c r="C141" s="436"/>
      <c r="D141" s="436"/>
      <c r="E141" s="436"/>
      <c r="F141" s="436"/>
      <c r="G141" s="436"/>
      <c r="H141" s="436"/>
      <c r="I141" s="436"/>
      <c r="J141" s="436"/>
      <c r="K141" s="436"/>
      <c r="L141" s="436"/>
      <c r="M141" s="436"/>
      <c r="N141" s="436"/>
      <c r="O141" s="436"/>
      <c r="P141" s="436"/>
      <c r="Q141" s="436"/>
      <c r="R141" s="436"/>
      <c r="S141" s="436"/>
      <c r="T141" s="436"/>
      <c r="U141" s="436"/>
      <c r="V141" s="436"/>
      <c r="W141" s="436"/>
      <c r="X141" s="436"/>
      <c r="Y141" s="436"/>
      <c r="Z141" s="436"/>
      <c r="AA141" s="436"/>
      <c r="AB141" s="436"/>
      <c r="AC141" s="436"/>
      <c r="AD141" s="436"/>
      <c r="AE141" s="436"/>
      <c r="AF141" s="436"/>
      <c r="AG141" s="436"/>
      <c r="AH141" s="436"/>
      <c r="AI141" s="436"/>
      <c r="AJ141" s="436"/>
      <c r="AK141" s="436"/>
      <c r="AL141" s="436"/>
      <c r="AM141" s="436"/>
      <c r="AN141" s="436"/>
      <c r="AO141" s="436"/>
      <c r="AP141" s="436"/>
      <c r="AQ141" s="436"/>
      <c r="AR141" s="436"/>
      <c r="AS141" s="436"/>
      <c r="AT141" s="436"/>
      <c r="AU141" s="436"/>
      <c r="AV141" s="436"/>
      <c r="AW141" s="436"/>
      <c r="AX141" s="436"/>
      <c r="AY141" s="436"/>
      <c r="AZ141" s="436"/>
      <c r="BA141" s="436"/>
      <c r="BB141" s="436"/>
      <c r="BC141" s="436"/>
      <c r="BD141" s="436"/>
      <c r="BE141" s="436"/>
      <c r="BF141" s="436"/>
      <c r="BG141" s="436"/>
      <c r="BH141" s="436"/>
      <c r="BI141" s="436"/>
      <c r="BJ141" s="436"/>
      <c r="BK141" s="436"/>
      <c r="BL141" s="436"/>
      <c r="BM141" s="436"/>
      <c r="BN141" s="436"/>
      <c r="BO141" s="436"/>
      <c r="BP141" s="436"/>
      <c r="BQ141" s="436"/>
      <c r="BR141" s="436"/>
      <c r="BS141" s="436"/>
      <c r="BT141" s="436"/>
      <c r="BU141" s="436"/>
      <c r="BV141" s="436"/>
      <c r="BW141" s="436"/>
      <c r="BX141" s="436"/>
      <c r="BY141" s="436"/>
      <c r="BZ141" s="436"/>
      <c r="CA141" s="436"/>
      <c r="CB141" s="436"/>
      <c r="CC141" s="436"/>
      <c r="CD141" s="436"/>
      <c r="CE141" s="437">
        <f>SUM(IF(COLUMN($C141:$CD141)&lt;(3+'2、试卷（期末）'!$B$2),$C141:$CD141,))</f>
        <v>0</v>
      </c>
      <c r="CF141" s="437">
        <f>SUM(IF(COLUMN($C141:$CD141)&lt;(3+SUM('2、试卷（期末）'!$B$2:$B$3)),$C141:$CD141,))-$CE141</f>
        <v>0</v>
      </c>
      <c r="CG141" s="437">
        <f>SUM(IF(COLUMN($C141:$CD141)&lt;(3+SUM('2、试卷（期末）'!$B$2:$B$4)),$C141:$CD141,))-SUM($CE141:$CF141)</f>
        <v>0</v>
      </c>
      <c r="CH141" s="437">
        <f>SUM(IF(COLUMN($C141:$CD141)&lt;(3+SUM('2、试卷（期末）'!$B$2:$B$5)),$C141:$CD141,))-SUM($CE141:$CG141)</f>
        <v>0</v>
      </c>
      <c r="CI141" s="437">
        <f>SUM(IF(COLUMN($C141:$CD141)&lt;(3+SUM('2、试卷（期末）'!$B$2:$B$6)),$C141:$CD141,))-SUM($CE141:$CH141)</f>
        <v>0</v>
      </c>
      <c r="CJ141" s="437">
        <f>SUM(IF(COLUMN($C141:$CD141)&lt;(3+SUM('2、试卷（期末）'!$B$2:$B$7)),$C141:$CD141,))-SUM($CE141:$CI141)</f>
        <v>0</v>
      </c>
      <c r="CK141" s="437">
        <f>SUM(IF(COLUMN($C141:$CD141)&lt;(3+SUM('2、试卷（期末）'!$B$2:$B$8)),$C141:$CD141,))-SUM($CE141:$CJ141)</f>
        <v>0</v>
      </c>
      <c r="CL141" s="437">
        <f>SUM(IF(COLUMN($C141:$CD141)&lt;(3+SUM('2、试卷（期末）'!$B$2:$B$9)),$C141:$CD141,))-SUM($CE141:$CK141)</f>
        <v>0</v>
      </c>
      <c r="CM141" s="437">
        <f>SUM(IF(COLUMN($C141:$CD141)&lt;(3+SUM('2、试卷（期末）'!$B$2:$B$10)),$C141:$CD141,))-SUM($CE141:$CL141)</f>
        <v>0</v>
      </c>
      <c r="CN141" s="437">
        <f>SUM(IF(COLUMN($C141:$CD141)&lt;(3+SUM('2、试卷（期末）'!$B$2:$B$11)),$C141:$CD141,))-SUM($CE141:$CM141)</f>
        <v>0</v>
      </c>
      <c r="CO141" s="437">
        <f t="shared" si="4"/>
        <v>0</v>
      </c>
      <c r="CP141" s="438">
        <f ca="1">ROUND(CO141*'1、课程目标与考核方式'!$H$13/100+IF(ISERROR(VLOOKUP(A141,'4、平时成绩'!$A$2:$H$201,8,FALSE)),0,VLOOKUP(A141,'4、平时成绩'!$A$2:$H$201,8,FALSE)),0)</f>
        <v>0</v>
      </c>
    </row>
    <row r="142" s="32" customFormat="1" spans="1:94">
      <c r="A142" s="443"/>
      <c r="B142" s="443"/>
      <c r="C142" s="436"/>
      <c r="D142" s="436"/>
      <c r="E142" s="436"/>
      <c r="F142" s="436"/>
      <c r="G142" s="436"/>
      <c r="H142" s="436"/>
      <c r="I142" s="436"/>
      <c r="J142" s="436"/>
      <c r="K142" s="436"/>
      <c r="L142" s="436"/>
      <c r="M142" s="436"/>
      <c r="N142" s="436"/>
      <c r="O142" s="436"/>
      <c r="P142" s="436"/>
      <c r="Q142" s="436"/>
      <c r="R142" s="436"/>
      <c r="S142" s="436"/>
      <c r="T142" s="436"/>
      <c r="U142" s="436"/>
      <c r="V142" s="436"/>
      <c r="W142" s="436"/>
      <c r="X142" s="436"/>
      <c r="Y142" s="436"/>
      <c r="Z142" s="436"/>
      <c r="AA142" s="436"/>
      <c r="AB142" s="436"/>
      <c r="AC142" s="436"/>
      <c r="AD142" s="436"/>
      <c r="AE142" s="436"/>
      <c r="AF142" s="436"/>
      <c r="AG142" s="436"/>
      <c r="AH142" s="436"/>
      <c r="AI142" s="436"/>
      <c r="AJ142" s="436"/>
      <c r="AK142" s="436"/>
      <c r="AL142" s="436"/>
      <c r="AM142" s="436"/>
      <c r="AN142" s="436"/>
      <c r="AO142" s="436"/>
      <c r="AP142" s="436"/>
      <c r="AQ142" s="436"/>
      <c r="AR142" s="436"/>
      <c r="AS142" s="436"/>
      <c r="AT142" s="436"/>
      <c r="AU142" s="436"/>
      <c r="AV142" s="436"/>
      <c r="AW142" s="436"/>
      <c r="AX142" s="436"/>
      <c r="AY142" s="436"/>
      <c r="AZ142" s="436"/>
      <c r="BA142" s="436"/>
      <c r="BB142" s="436"/>
      <c r="BC142" s="436"/>
      <c r="BD142" s="436"/>
      <c r="BE142" s="436"/>
      <c r="BF142" s="436"/>
      <c r="BG142" s="436"/>
      <c r="BH142" s="436"/>
      <c r="BI142" s="436"/>
      <c r="BJ142" s="436"/>
      <c r="BK142" s="436"/>
      <c r="BL142" s="436"/>
      <c r="BM142" s="436"/>
      <c r="BN142" s="436"/>
      <c r="BO142" s="436"/>
      <c r="BP142" s="436"/>
      <c r="BQ142" s="436"/>
      <c r="BR142" s="436"/>
      <c r="BS142" s="436"/>
      <c r="BT142" s="436"/>
      <c r="BU142" s="436"/>
      <c r="BV142" s="436"/>
      <c r="BW142" s="436"/>
      <c r="BX142" s="436"/>
      <c r="BY142" s="436"/>
      <c r="BZ142" s="436"/>
      <c r="CA142" s="436"/>
      <c r="CB142" s="436"/>
      <c r="CC142" s="436"/>
      <c r="CD142" s="436"/>
      <c r="CE142" s="437">
        <f>SUM(IF(COLUMN($C142:$CD142)&lt;(3+'2、试卷（期末）'!$B$2),$C142:$CD142,))</f>
        <v>0</v>
      </c>
      <c r="CF142" s="437">
        <f>SUM(IF(COLUMN($C142:$CD142)&lt;(3+SUM('2、试卷（期末）'!$B$2:$B$3)),$C142:$CD142,))-$CE142</f>
        <v>0</v>
      </c>
      <c r="CG142" s="437">
        <f>SUM(IF(COLUMN($C142:$CD142)&lt;(3+SUM('2、试卷（期末）'!$B$2:$B$4)),$C142:$CD142,))-SUM($CE142:$CF142)</f>
        <v>0</v>
      </c>
      <c r="CH142" s="437">
        <f>SUM(IF(COLUMN($C142:$CD142)&lt;(3+SUM('2、试卷（期末）'!$B$2:$B$5)),$C142:$CD142,))-SUM($CE142:$CG142)</f>
        <v>0</v>
      </c>
      <c r="CI142" s="437">
        <f>SUM(IF(COLUMN($C142:$CD142)&lt;(3+SUM('2、试卷（期末）'!$B$2:$B$6)),$C142:$CD142,))-SUM($CE142:$CH142)</f>
        <v>0</v>
      </c>
      <c r="CJ142" s="437">
        <f>SUM(IF(COLUMN($C142:$CD142)&lt;(3+SUM('2、试卷（期末）'!$B$2:$B$7)),$C142:$CD142,))-SUM($CE142:$CI142)</f>
        <v>0</v>
      </c>
      <c r="CK142" s="437">
        <f>SUM(IF(COLUMN($C142:$CD142)&lt;(3+SUM('2、试卷（期末）'!$B$2:$B$8)),$C142:$CD142,))-SUM($CE142:$CJ142)</f>
        <v>0</v>
      </c>
      <c r="CL142" s="437">
        <f>SUM(IF(COLUMN($C142:$CD142)&lt;(3+SUM('2、试卷（期末）'!$B$2:$B$9)),$C142:$CD142,))-SUM($CE142:$CK142)</f>
        <v>0</v>
      </c>
      <c r="CM142" s="437">
        <f>SUM(IF(COLUMN($C142:$CD142)&lt;(3+SUM('2、试卷（期末）'!$B$2:$B$10)),$C142:$CD142,))-SUM($CE142:$CL142)</f>
        <v>0</v>
      </c>
      <c r="CN142" s="437">
        <f>SUM(IF(COLUMN($C142:$CD142)&lt;(3+SUM('2、试卷（期末）'!$B$2:$B$11)),$C142:$CD142,))-SUM($CE142:$CM142)</f>
        <v>0</v>
      </c>
      <c r="CO142" s="437">
        <f t="shared" si="4"/>
        <v>0</v>
      </c>
      <c r="CP142" s="438">
        <f ca="1">ROUND(CO142*'1、课程目标与考核方式'!$H$13/100+IF(ISERROR(VLOOKUP(A142,'4、平时成绩'!$A$2:$H$201,8,FALSE)),0,VLOOKUP(A142,'4、平时成绩'!$A$2:$H$201,8,FALSE)),0)</f>
        <v>0</v>
      </c>
    </row>
    <row r="143" s="32" customFormat="1" spans="1:94">
      <c r="A143" s="443"/>
      <c r="B143" s="443"/>
      <c r="C143" s="436"/>
      <c r="D143" s="436"/>
      <c r="E143" s="436"/>
      <c r="F143" s="436"/>
      <c r="G143" s="436"/>
      <c r="H143" s="436"/>
      <c r="I143" s="436"/>
      <c r="J143" s="436"/>
      <c r="K143" s="436"/>
      <c r="L143" s="436"/>
      <c r="M143" s="436"/>
      <c r="N143" s="436"/>
      <c r="O143" s="436"/>
      <c r="P143" s="436"/>
      <c r="Q143" s="436"/>
      <c r="R143" s="436"/>
      <c r="S143" s="436"/>
      <c r="T143" s="436"/>
      <c r="U143" s="436"/>
      <c r="V143" s="436"/>
      <c r="W143" s="436"/>
      <c r="X143" s="436"/>
      <c r="Y143" s="436"/>
      <c r="Z143" s="436"/>
      <c r="AA143" s="436"/>
      <c r="AB143" s="436"/>
      <c r="AC143" s="436"/>
      <c r="AD143" s="436"/>
      <c r="AE143" s="436"/>
      <c r="AF143" s="436"/>
      <c r="AG143" s="436"/>
      <c r="AH143" s="436"/>
      <c r="AI143" s="436"/>
      <c r="AJ143" s="436"/>
      <c r="AK143" s="436"/>
      <c r="AL143" s="436"/>
      <c r="AM143" s="436"/>
      <c r="AN143" s="436"/>
      <c r="AO143" s="436"/>
      <c r="AP143" s="436"/>
      <c r="AQ143" s="436"/>
      <c r="AR143" s="436"/>
      <c r="AS143" s="436"/>
      <c r="AT143" s="436"/>
      <c r="AU143" s="436"/>
      <c r="AV143" s="436"/>
      <c r="AW143" s="436"/>
      <c r="AX143" s="436"/>
      <c r="AY143" s="436"/>
      <c r="AZ143" s="436"/>
      <c r="BA143" s="436"/>
      <c r="BB143" s="436"/>
      <c r="BC143" s="436"/>
      <c r="BD143" s="436"/>
      <c r="BE143" s="436"/>
      <c r="BF143" s="436"/>
      <c r="BG143" s="436"/>
      <c r="BH143" s="436"/>
      <c r="BI143" s="436"/>
      <c r="BJ143" s="436"/>
      <c r="BK143" s="436"/>
      <c r="BL143" s="436"/>
      <c r="BM143" s="436"/>
      <c r="BN143" s="436"/>
      <c r="BO143" s="436"/>
      <c r="BP143" s="436"/>
      <c r="BQ143" s="436"/>
      <c r="BR143" s="436"/>
      <c r="BS143" s="436"/>
      <c r="BT143" s="436"/>
      <c r="BU143" s="436"/>
      <c r="BV143" s="436"/>
      <c r="BW143" s="436"/>
      <c r="BX143" s="436"/>
      <c r="BY143" s="436"/>
      <c r="BZ143" s="436"/>
      <c r="CA143" s="436"/>
      <c r="CB143" s="436"/>
      <c r="CC143" s="436"/>
      <c r="CD143" s="436"/>
      <c r="CE143" s="437">
        <f>SUM(IF(COLUMN($C143:$CD143)&lt;(3+'2、试卷（期末）'!$B$2),$C143:$CD143,))</f>
        <v>0</v>
      </c>
      <c r="CF143" s="437">
        <f>SUM(IF(COLUMN($C143:$CD143)&lt;(3+SUM('2、试卷（期末）'!$B$2:$B$3)),$C143:$CD143,))-$CE143</f>
        <v>0</v>
      </c>
      <c r="CG143" s="437">
        <f>SUM(IF(COLUMN($C143:$CD143)&lt;(3+SUM('2、试卷（期末）'!$B$2:$B$4)),$C143:$CD143,))-SUM($CE143:$CF143)</f>
        <v>0</v>
      </c>
      <c r="CH143" s="437">
        <f>SUM(IF(COLUMN($C143:$CD143)&lt;(3+SUM('2、试卷（期末）'!$B$2:$B$5)),$C143:$CD143,))-SUM($CE143:$CG143)</f>
        <v>0</v>
      </c>
      <c r="CI143" s="437">
        <f>SUM(IF(COLUMN($C143:$CD143)&lt;(3+SUM('2、试卷（期末）'!$B$2:$B$6)),$C143:$CD143,))-SUM($CE143:$CH143)</f>
        <v>0</v>
      </c>
      <c r="CJ143" s="437">
        <f>SUM(IF(COLUMN($C143:$CD143)&lt;(3+SUM('2、试卷（期末）'!$B$2:$B$7)),$C143:$CD143,))-SUM($CE143:$CI143)</f>
        <v>0</v>
      </c>
      <c r="CK143" s="437">
        <f>SUM(IF(COLUMN($C143:$CD143)&lt;(3+SUM('2、试卷（期末）'!$B$2:$B$8)),$C143:$CD143,))-SUM($CE143:$CJ143)</f>
        <v>0</v>
      </c>
      <c r="CL143" s="437">
        <f>SUM(IF(COLUMN($C143:$CD143)&lt;(3+SUM('2、试卷（期末）'!$B$2:$B$9)),$C143:$CD143,))-SUM($CE143:$CK143)</f>
        <v>0</v>
      </c>
      <c r="CM143" s="437">
        <f>SUM(IF(COLUMN($C143:$CD143)&lt;(3+SUM('2、试卷（期末）'!$B$2:$B$10)),$C143:$CD143,))-SUM($CE143:$CL143)</f>
        <v>0</v>
      </c>
      <c r="CN143" s="437">
        <f>SUM(IF(COLUMN($C143:$CD143)&lt;(3+SUM('2、试卷（期末）'!$B$2:$B$11)),$C143:$CD143,))-SUM($CE143:$CM143)</f>
        <v>0</v>
      </c>
      <c r="CO143" s="437">
        <f t="shared" si="4"/>
        <v>0</v>
      </c>
      <c r="CP143" s="438">
        <f ca="1">ROUND(CO143*'1、课程目标与考核方式'!$H$13/100+IF(ISERROR(VLOOKUP(A143,'4、平时成绩'!$A$2:$H$201,8,FALSE)),0,VLOOKUP(A143,'4、平时成绩'!$A$2:$H$201,8,FALSE)),0)</f>
        <v>0</v>
      </c>
    </row>
    <row r="144" s="32" customFormat="1" spans="1:94">
      <c r="A144" s="443"/>
      <c r="B144" s="443"/>
      <c r="C144" s="436"/>
      <c r="D144" s="436"/>
      <c r="E144" s="436"/>
      <c r="F144" s="436"/>
      <c r="G144" s="436"/>
      <c r="H144" s="436"/>
      <c r="I144" s="436"/>
      <c r="J144" s="436"/>
      <c r="K144" s="436"/>
      <c r="L144" s="436"/>
      <c r="M144" s="436"/>
      <c r="N144" s="436"/>
      <c r="O144" s="436"/>
      <c r="P144" s="436"/>
      <c r="Q144" s="436"/>
      <c r="R144" s="436"/>
      <c r="S144" s="436"/>
      <c r="T144" s="436"/>
      <c r="U144" s="436"/>
      <c r="V144" s="436"/>
      <c r="W144" s="436"/>
      <c r="X144" s="436"/>
      <c r="Y144" s="436"/>
      <c r="Z144" s="436"/>
      <c r="AA144" s="436"/>
      <c r="AB144" s="436"/>
      <c r="AC144" s="436"/>
      <c r="AD144" s="436"/>
      <c r="AE144" s="436"/>
      <c r="AF144" s="436"/>
      <c r="AG144" s="436"/>
      <c r="AH144" s="436"/>
      <c r="AI144" s="436"/>
      <c r="AJ144" s="436"/>
      <c r="AK144" s="436"/>
      <c r="AL144" s="436"/>
      <c r="AM144" s="436"/>
      <c r="AN144" s="436"/>
      <c r="AO144" s="436"/>
      <c r="AP144" s="436"/>
      <c r="AQ144" s="436"/>
      <c r="AR144" s="436"/>
      <c r="AS144" s="436"/>
      <c r="AT144" s="436"/>
      <c r="AU144" s="436"/>
      <c r="AV144" s="436"/>
      <c r="AW144" s="436"/>
      <c r="AX144" s="436"/>
      <c r="AY144" s="436"/>
      <c r="AZ144" s="436"/>
      <c r="BA144" s="436"/>
      <c r="BB144" s="436"/>
      <c r="BC144" s="436"/>
      <c r="BD144" s="436"/>
      <c r="BE144" s="436"/>
      <c r="BF144" s="436"/>
      <c r="BG144" s="436"/>
      <c r="BH144" s="436"/>
      <c r="BI144" s="436"/>
      <c r="BJ144" s="436"/>
      <c r="BK144" s="436"/>
      <c r="BL144" s="436"/>
      <c r="BM144" s="436"/>
      <c r="BN144" s="436"/>
      <c r="BO144" s="436"/>
      <c r="BP144" s="436"/>
      <c r="BQ144" s="436"/>
      <c r="BR144" s="436"/>
      <c r="BS144" s="436"/>
      <c r="BT144" s="436"/>
      <c r="BU144" s="436"/>
      <c r="BV144" s="436"/>
      <c r="BW144" s="436"/>
      <c r="BX144" s="436"/>
      <c r="BY144" s="436"/>
      <c r="BZ144" s="436"/>
      <c r="CA144" s="436"/>
      <c r="CB144" s="436"/>
      <c r="CC144" s="436"/>
      <c r="CD144" s="436"/>
      <c r="CE144" s="437">
        <f>SUM(IF(COLUMN($C144:$CD144)&lt;(3+'2、试卷（期末）'!$B$2),$C144:$CD144,))</f>
        <v>0</v>
      </c>
      <c r="CF144" s="437">
        <f>SUM(IF(COLUMN($C144:$CD144)&lt;(3+SUM('2、试卷（期末）'!$B$2:$B$3)),$C144:$CD144,))-$CE144</f>
        <v>0</v>
      </c>
      <c r="CG144" s="437">
        <f>SUM(IF(COLUMN($C144:$CD144)&lt;(3+SUM('2、试卷（期末）'!$B$2:$B$4)),$C144:$CD144,))-SUM($CE144:$CF144)</f>
        <v>0</v>
      </c>
      <c r="CH144" s="437">
        <f>SUM(IF(COLUMN($C144:$CD144)&lt;(3+SUM('2、试卷（期末）'!$B$2:$B$5)),$C144:$CD144,))-SUM($CE144:$CG144)</f>
        <v>0</v>
      </c>
      <c r="CI144" s="437">
        <f>SUM(IF(COLUMN($C144:$CD144)&lt;(3+SUM('2、试卷（期末）'!$B$2:$B$6)),$C144:$CD144,))-SUM($CE144:$CH144)</f>
        <v>0</v>
      </c>
      <c r="CJ144" s="437">
        <f>SUM(IF(COLUMN($C144:$CD144)&lt;(3+SUM('2、试卷（期末）'!$B$2:$B$7)),$C144:$CD144,))-SUM($CE144:$CI144)</f>
        <v>0</v>
      </c>
      <c r="CK144" s="437">
        <f>SUM(IF(COLUMN($C144:$CD144)&lt;(3+SUM('2、试卷（期末）'!$B$2:$B$8)),$C144:$CD144,))-SUM($CE144:$CJ144)</f>
        <v>0</v>
      </c>
      <c r="CL144" s="437">
        <f>SUM(IF(COLUMN($C144:$CD144)&lt;(3+SUM('2、试卷（期末）'!$B$2:$B$9)),$C144:$CD144,))-SUM($CE144:$CK144)</f>
        <v>0</v>
      </c>
      <c r="CM144" s="437">
        <f>SUM(IF(COLUMN($C144:$CD144)&lt;(3+SUM('2、试卷（期末）'!$B$2:$B$10)),$C144:$CD144,))-SUM($CE144:$CL144)</f>
        <v>0</v>
      </c>
      <c r="CN144" s="437">
        <f>SUM(IF(COLUMN($C144:$CD144)&lt;(3+SUM('2、试卷（期末）'!$B$2:$B$11)),$C144:$CD144,))-SUM($CE144:$CM144)</f>
        <v>0</v>
      </c>
      <c r="CO144" s="437">
        <f t="shared" si="4"/>
        <v>0</v>
      </c>
      <c r="CP144" s="438">
        <f ca="1">ROUND(CO144*'1、课程目标与考核方式'!$H$13/100+IF(ISERROR(VLOOKUP(A144,'4、平时成绩'!$A$2:$H$201,8,FALSE)),0,VLOOKUP(A144,'4、平时成绩'!$A$2:$H$201,8,FALSE)),0)</f>
        <v>0</v>
      </c>
    </row>
    <row r="145" s="32" customFormat="1" spans="1:94">
      <c r="A145" s="443"/>
      <c r="B145" s="443"/>
      <c r="C145" s="436"/>
      <c r="D145" s="436"/>
      <c r="E145" s="436"/>
      <c r="F145" s="436"/>
      <c r="G145" s="436"/>
      <c r="H145" s="436"/>
      <c r="I145" s="436"/>
      <c r="J145" s="436"/>
      <c r="K145" s="436"/>
      <c r="L145" s="436"/>
      <c r="M145" s="436"/>
      <c r="N145" s="436"/>
      <c r="O145" s="436"/>
      <c r="P145" s="436"/>
      <c r="Q145" s="436"/>
      <c r="R145" s="436"/>
      <c r="S145" s="436"/>
      <c r="T145" s="436"/>
      <c r="U145" s="436"/>
      <c r="V145" s="436"/>
      <c r="W145" s="436"/>
      <c r="X145" s="436"/>
      <c r="Y145" s="436"/>
      <c r="Z145" s="436"/>
      <c r="AA145" s="436"/>
      <c r="AB145" s="436"/>
      <c r="AC145" s="436"/>
      <c r="AD145" s="436"/>
      <c r="AE145" s="436"/>
      <c r="AF145" s="436"/>
      <c r="AG145" s="436"/>
      <c r="AH145" s="436"/>
      <c r="AI145" s="436"/>
      <c r="AJ145" s="436"/>
      <c r="AK145" s="436"/>
      <c r="AL145" s="436"/>
      <c r="AM145" s="436"/>
      <c r="AN145" s="436"/>
      <c r="AO145" s="436"/>
      <c r="AP145" s="436"/>
      <c r="AQ145" s="436"/>
      <c r="AR145" s="436"/>
      <c r="AS145" s="436"/>
      <c r="AT145" s="436"/>
      <c r="AU145" s="436"/>
      <c r="AV145" s="436"/>
      <c r="AW145" s="436"/>
      <c r="AX145" s="436"/>
      <c r="AY145" s="436"/>
      <c r="AZ145" s="436"/>
      <c r="BA145" s="436"/>
      <c r="BB145" s="436"/>
      <c r="BC145" s="436"/>
      <c r="BD145" s="436"/>
      <c r="BE145" s="436"/>
      <c r="BF145" s="436"/>
      <c r="BG145" s="436"/>
      <c r="BH145" s="436"/>
      <c r="BI145" s="436"/>
      <c r="BJ145" s="436"/>
      <c r="BK145" s="436"/>
      <c r="BL145" s="436"/>
      <c r="BM145" s="436"/>
      <c r="BN145" s="436"/>
      <c r="BO145" s="436"/>
      <c r="BP145" s="436"/>
      <c r="BQ145" s="436"/>
      <c r="BR145" s="436"/>
      <c r="BS145" s="436"/>
      <c r="BT145" s="436"/>
      <c r="BU145" s="436"/>
      <c r="BV145" s="436"/>
      <c r="BW145" s="436"/>
      <c r="BX145" s="436"/>
      <c r="BY145" s="436"/>
      <c r="BZ145" s="436"/>
      <c r="CA145" s="436"/>
      <c r="CB145" s="436"/>
      <c r="CC145" s="436"/>
      <c r="CD145" s="436"/>
      <c r="CE145" s="437">
        <f>SUM(IF(COLUMN($C145:$CD145)&lt;(3+'2、试卷（期末）'!$B$2),$C145:$CD145,))</f>
        <v>0</v>
      </c>
      <c r="CF145" s="437">
        <f>SUM(IF(COLUMN($C145:$CD145)&lt;(3+SUM('2、试卷（期末）'!$B$2:$B$3)),$C145:$CD145,))-$CE145</f>
        <v>0</v>
      </c>
      <c r="CG145" s="437">
        <f>SUM(IF(COLUMN($C145:$CD145)&lt;(3+SUM('2、试卷（期末）'!$B$2:$B$4)),$C145:$CD145,))-SUM($CE145:$CF145)</f>
        <v>0</v>
      </c>
      <c r="CH145" s="437">
        <f>SUM(IF(COLUMN($C145:$CD145)&lt;(3+SUM('2、试卷（期末）'!$B$2:$B$5)),$C145:$CD145,))-SUM($CE145:$CG145)</f>
        <v>0</v>
      </c>
      <c r="CI145" s="437">
        <f>SUM(IF(COLUMN($C145:$CD145)&lt;(3+SUM('2、试卷（期末）'!$B$2:$B$6)),$C145:$CD145,))-SUM($CE145:$CH145)</f>
        <v>0</v>
      </c>
      <c r="CJ145" s="437">
        <f>SUM(IF(COLUMN($C145:$CD145)&lt;(3+SUM('2、试卷（期末）'!$B$2:$B$7)),$C145:$CD145,))-SUM($CE145:$CI145)</f>
        <v>0</v>
      </c>
      <c r="CK145" s="437">
        <f>SUM(IF(COLUMN($C145:$CD145)&lt;(3+SUM('2、试卷（期末）'!$B$2:$B$8)),$C145:$CD145,))-SUM($CE145:$CJ145)</f>
        <v>0</v>
      </c>
      <c r="CL145" s="437">
        <f>SUM(IF(COLUMN($C145:$CD145)&lt;(3+SUM('2、试卷（期末）'!$B$2:$B$9)),$C145:$CD145,))-SUM($CE145:$CK145)</f>
        <v>0</v>
      </c>
      <c r="CM145" s="437">
        <f>SUM(IF(COLUMN($C145:$CD145)&lt;(3+SUM('2、试卷（期末）'!$B$2:$B$10)),$C145:$CD145,))-SUM($CE145:$CL145)</f>
        <v>0</v>
      </c>
      <c r="CN145" s="437">
        <f>SUM(IF(COLUMN($C145:$CD145)&lt;(3+SUM('2、试卷（期末）'!$B$2:$B$11)),$C145:$CD145,))-SUM($CE145:$CM145)</f>
        <v>0</v>
      </c>
      <c r="CO145" s="437">
        <f t="shared" si="4"/>
        <v>0</v>
      </c>
      <c r="CP145" s="438">
        <f ca="1">ROUND(CO145*'1、课程目标与考核方式'!$H$13/100+IF(ISERROR(VLOOKUP(A145,'4、平时成绩'!$A$2:$H$201,8,FALSE)),0,VLOOKUP(A145,'4、平时成绩'!$A$2:$H$201,8,FALSE)),0)</f>
        <v>0</v>
      </c>
    </row>
    <row r="146" s="32" customFormat="1" spans="1:94">
      <c r="A146" s="443"/>
      <c r="B146" s="443"/>
      <c r="C146" s="436"/>
      <c r="D146" s="436"/>
      <c r="E146" s="436"/>
      <c r="F146" s="436"/>
      <c r="G146" s="436"/>
      <c r="H146" s="436"/>
      <c r="I146" s="436"/>
      <c r="J146" s="436"/>
      <c r="K146" s="436"/>
      <c r="L146" s="436"/>
      <c r="M146" s="436"/>
      <c r="N146" s="436"/>
      <c r="O146" s="436"/>
      <c r="P146" s="436"/>
      <c r="Q146" s="436"/>
      <c r="R146" s="436"/>
      <c r="S146" s="436"/>
      <c r="T146" s="436"/>
      <c r="U146" s="436"/>
      <c r="V146" s="436"/>
      <c r="W146" s="436"/>
      <c r="X146" s="436"/>
      <c r="Y146" s="436"/>
      <c r="Z146" s="436"/>
      <c r="AA146" s="436"/>
      <c r="AB146" s="436"/>
      <c r="AC146" s="436"/>
      <c r="AD146" s="436"/>
      <c r="AE146" s="436"/>
      <c r="AF146" s="436"/>
      <c r="AG146" s="436"/>
      <c r="AH146" s="436"/>
      <c r="AI146" s="436"/>
      <c r="AJ146" s="436"/>
      <c r="AK146" s="436"/>
      <c r="AL146" s="436"/>
      <c r="AM146" s="436"/>
      <c r="AN146" s="436"/>
      <c r="AO146" s="436"/>
      <c r="AP146" s="436"/>
      <c r="AQ146" s="436"/>
      <c r="AR146" s="436"/>
      <c r="AS146" s="436"/>
      <c r="AT146" s="436"/>
      <c r="AU146" s="436"/>
      <c r="AV146" s="436"/>
      <c r="AW146" s="436"/>
      <c r="AX146" s="436"/>
      <c r="AY146" s="436"/>
      <c r="AZ146" s="436"/>
      <c r="BA146" s="436"/>
      <c r="BB146" s="436"/>
      <c r="BC146" s="436"/>
      <c r="BD146" s="436"/>
      <c r="BE146" s="436"/>
      <c r="BF146" s="436"/>
      <c r="BG146" s="436"/>
      <c r="BH146" s="436"/>
      <c r="BI146" s="436"/>
      <c r="BJ146" s="436"/>
      <c r="BK146" s="436"/>
      <c r="BL146" s="436"/>
      <c r="BM146" s="436"/>
      <c r="BN146" s="436"/>
      <c r="BO146" s="436"/>
      <c r="BP146" s="436"/>
      <c r="BQ146" s="436"/>
      <c r="BR146" s="436"/>
      <c r="BS146" s="436"/>
      <c r="BT146" s="436"/>
      <c r="BU146" s="436"/>
      <c r="BV146" s="436"/>
      <c r="BW146" s="436"/>
      <c r="BX146" s="436"/>
      <c r="BY146" s="436"/>
      <c r="BZ146" s="436"/>
      <c r="CA146" s="436"/>
      <c r="CB146" s="436"/>
      <c r="CC146" s="436"/>
      <c r="CD146" s="436"/>
      <c r="CE146" s="437">
        <f>SUM(IF(COLUMN($C146:$CD146)&lt;(3+'2、试卷（期末）'!$B$2),$C146:$CD146,))</f>
        <v>0</v>
      </c>
      <c r="CF146" s="437">
        <f>SUM(IF(COLUMN($C146:$CD146)&lt;(3+SUM('2、试卷（期末）'!$B$2:$B$3)),$C146:$CD146,))-$CE146</f>
        <v>0</v>
      </c>
      <c r="CG146" s="437">
        <f>SUM(IF(COLUMN($C146:$CD146)&lt;(3+SUM('2、试卷（期末）'!$B$2:$B$4)),$C146:$CD146,))-SUM($CE146:$CF146)</f>
        <v>0</v>
      </c>
      <c r="CH146" s="437">
        <f>SUM(IF(COLUMN($C146:$CD146)&lt;(3+SUM('2、试卷（期末）'!$B$2:$B$5)),$C146:$CD146,))-SUM($CE146:$CG146)</f>
        <v>0</v>
      </c>
      <c r="CI146" s="437">
        <f>SUM(IF(COLUMN($C146:$CD146)&lt;(3+SUM('2、试卷（期末）'!$B$2:$B$6)),$C146:$CD146,))-SUM($CE146:$CH146)</f>
        <v>0</v>
      </c>
      <c r="CJ146" s="437">
        <f>SUM(IF(COLUMN($C146:$CD146)&lt;(3+SUM('2、试卷（期末）'!$B$2:$B$7)),$C146:$CD146,))-SUM($CE146:$CI146)</f>
        <v>0</v>
      </c>
      <c r="CK146" s="437">
        <f>SUM(IF(COLUMN($C146:$CD146)&lt;(3+SUM('2、试卷（期末）'!$B$2:$B$8)),$C146:$CD146,))-SUM($CE146:$CJ146)</f>
        <v>0</v>
      </c>
      <c r="CL146" s="437">
        <f>SUM(IF(COLUMN($C146:$CD146)&lt;(3+SUM('2、试卷（期末）'!$B$2:$B$9)),$C146:$CD146,))-SUM($CE146:$CK146)</f>
        <v>0</v>
      </c>
      <c r="CM146" s="437">
        <f>SUM(IF(COLUMN($C146:$CD146)&lt;(3+SUM('2、试卷（期末）'!$B$2:$B$10)),$C146:$CD146,))-SUM($CE146:$CL146)</f>
        <v>0</v>
      </c>
      <c r="CN146" s="437">
        <f>SUM(IF(COLUMN($C146:$CD146)&lt;(3+SUM('2、试卷（期末）'!$B$2:$B$11)),$C146:$CD146,))-SUM($CE146:$CM146)</f>
        <v>0</v>
      </c>
      <c r="CO146" s="437">
        <f t="shared" si="4"/>
        <v>0</v>
      </c>
      <c r="CP146" s="438">
        <f ca="1">ROUND(CO146*'1、课程目标与考核方式'!$H$13/100+IF(ISERROR(VLOOKUP(A146,'4、平时成绩'!$A$2:$H$201,8,FALSE)),0,VLOOKUP(A146,'4、平时成绩'!$A$2:$H$201,8,FALSE)),0)</f>
        <v>0</v>
      </c>
    </row>
    <row r="147" s="32" customFormat="1" spans="1:94">
      <c r="A147" s="443"/>
      <c r="B147" s="443"/>
      <c r="C147" s="436"/>
      <c r="D147" s="436"/>
      <c r="E147" s="436"/>
      <c r="F147" s="436"/>
      <c r="G147" s="436"/>
      <c r="H147" s="436"/>
      <c r="I147" s="436"/>
      <c r="J147" s="436"/>
      <c r="K147" s="436"/>
      <c r="L147" s="436"/>
      <c r="M147" s="436"/>
      <c r="N147" s="436"/>
      <c r="O147" s="436"/>
      <c r="P147" s="436"/>
      <c r="Q147" s="436"/>
      <c r="R147" s="436"/>
      <c r="S147" s="436"/>
      <c r="T147" s="436"/>
      <c r="U147" s="436"/>
      <c r="V147" s="436"/>
      <c r="W147" s="436"/>
      <c r="X147" s="436"/>
      <c r="Y147" s="436"/>
      <c r="Z147" s="436"/>
      <c r="AA147" s="436"/>
      <c r="AB147" s="436"/>
      <c r="AC147" s="436"/>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6"/>
      <c r="AY147" s="436"/>
      <c r="AZ147" s="436"/>
      <c r="BA147" s="436"/>
      <c r="BB147" s="436"/>
      <c r="BC147" s="436"/>
      <c r="BD147" s="436"/>
      <c r="BE147" s="436"/>
      <c r="BF147" s="436"/>
      <c r="BG147" s="436"/>
      <c r="BH147" s="436"/>
      <c r="BI147" s="436"/>
      <c r="BJ147" s="436"/>
      <c r="BK147" s="436"/>
      <c r="BL147" s="436"/>
      <c r="BM147" s="436"/>
      <c r="BN147" s="436"/>
      <c r="BO147" s="436"/>
      <c r="BP147" s="436"/>
      <c r="BQ147" s="436"/>
      <c r="BR147" s="436"/>
      <c r="BS147" s="436"/>
      <c r="BT147" s="436"/>
      <c r="BU147" s="436"/>
      <c r="BV147" s="436"/>
      <c r="BW147" s="436"/>
      <c r="BX147" s="436"/>
      <c r="BY147" s="436"/>
      <c r="BZ147" s="436"/>
      <c r="CA147" s="436"/>
      <c r="CB147" s="436"/>
      <c r="CC147" s="436"/>
      <c r="CD147" s="436"/>
      <c r="CE147" s="437">
        <f>SUM(IF(COLUMN($C147:$CD147)&lt;(3+'2、试卷（期末）'!$B$2),$C147:$CD147,))</f>
        <v>0</v>
      </c>
      <c r="CF147" s="437">
        <f>SUM(IF(COLUMN($C147:$CD147)&lt;(3+SUM('2、试卷（期末）'!$B$2:$B$3)),$C147:$CD147,))-$CE147</f>
        <v>0</v>
      </c>
      <c r="CG147" s="437">
        <f>SUM(IF(COLUMN($C147:$CD147)&lt;(3+SUM('2、试卷（期末）'!$B$2:$B$4)),$C147:$CD147,))-SUM($CE147:$CF147)</f>
        <v>0</v>
      </c>
      <c r="CH147" s="437">
        <f>SUM(IF(COLUMN($C147:$CD147)&lt;(3+SUM('2、试卷（期末）'!$B$2:$B$5)),$C147:$CD147,))-SUM($CE147:$CG147)</f>
        <v>0</v>
      </c>
      <c r="CI147" s="437">
        <f>SUM(IF(COLUMN($C147:$CD147)&lt;(3+SUM('2、试卷（期末）'!$B$2:$B$6)),$C147:$CD147,))-SUM($CE147:$CH147)</f>
        <v>0</v>
      </c>
      <c r="CJ147" s="437">
        <f>SUM(IF(COLUMN($C147:$CD147)&lt;(3+SUM('2、试卷（期末）'!$B$2:$B$7)),$C147:$CD147,))-SUM($CE147:$CI147)</f>
        <v>0</v>
      </c>
      <c r="CK147" s="437">
        <f>SUM(IF(COLUMN($C147:$CD147)&lt;(3+SUM('2、试卷（期末）'!$B$2:$B$8)),$C147:$CD147,))-SUM($CE147:$CJ147)</f>
        <v>0</v>
      </c>
      <c r="CL147" s="437">
        <f>SUM(IF(COLUMN($C147:$CD147)&lt;(3+SUM('2、试卷（期末）'!$B$2:$B$9)),$C147:$CD147,))-SUM($CE147:$CK147)</f>
        <v>0</v>
      </c>
      <c r="CM147" s="437">
        <f>SUM(IF(COLUMN($C147:$CD147)&lt;(3+SUM('2、试卷（期末）'!$B$2:$B$10)),$C147:$CD147,))-SUM($CE147:$CL147)</f>
        <v>0</v>
      </c>
      <c r="CN147" s="437">
        <f>SUM(IF(COLUMN($C147:$CD147)&lt;(3+SUM('2、试卷（期末）'!$B$2:$B$11)),$C147:$CD147,))-SUM($CE147:$CM147)</f>
        <v>0</v>
      </c>
      <c r="CO147" s="437">
        <f t="shared" si="4"/>
        <v>0</v>
      </c>
      <c r="CP147" s="438">
        <f ca="1">ROUND(CO147*'1、课程目标与考核方式'!$H$13/100+IF(ISERROR(VLOOKUP(A147,'4、平时成绩'!$A$2:$H$201,8,FALSE)),0,VLOOKUP(A147,'4、平时成绩'!$A$2:$H$201,8,FALSE)),0)</f>
        <v>0</v>
      </c>
    </row>
    <row r="148" s="32" customFormat="1" spans="1:94">
      <c r="A148" s="443"/>
      <c r="B148" s="443"/>
      <c r="C148" s="436"/>
      <c r="D148" s="436"/>
      <c r="E148" s="436"/>
      <c r="F148" s="436"/>
      <c r="G148" s="436"/>
      <c r="H148" s="436"/>
      <c r="I148" s="436"/>
      <c r="J148" s="436"/>
      <c r="K148" s="436"/>
      <c r="L148" s="436"/>
      <c r="M148" s="436"/>
      <c r="N148" s="436"/>
      <c r="O148" s="436"/>
      <c r="P148" s="436"/>
      <c r="Q148" s="436"/>
      <c r="R148" s="436"/>
      <c r="S148" s="436"/>
      <c r="T148" s="436"/>
      <c r="U148" s="436"/>
      <c r="V148" s="436"/>
      <c r="W148" s="436"/>
      <c r="X148" s="436"/>
      <c r="Y148" s="436"/>
      <c r="Z148" s="436"/>
      <c r="AA148" s="436"/>
      <c r="AB148" s="436"/>
      <c r="AC148" s="436"/>
      <c r="AD148" s="436"/>
      <c r="AE148" s="436"/>
      <c r="AF148" s="436"/>
      <c r="AG148" s="436"/>
      <c r="AH148" s="436"/>
      <c r="AI148" s="436"/>
      <c r="AJ148" s="436"/>
      <c r="AK148" s="436"/>
      <c r="AL148" s="436"/>
      <c r="AM148" s="436"/>
      <c r="AN148" s="436"/>
      <c r="AO148" s="436"/>
      <c r="AP148" s="436"/>
      <c r="AQ148" s="436"/>
      <c r="AR148" s="436"/>
      <c r="AS148" s="436"/>
      <c r="AT148" s="436"/>
      <c r="AU148" s="436"/>
      <c r="AV148" s="436"/>
      <c r="AW148" s="436"/>
      <c r="AX148" s="436"/>
      <c r="AY148" s="436"/>
      <c r="AZ148" s="436"/>
      <c r="BA148" s="436"/>
      <c r="BB148" s="436"/>
      <c r="BC148" s="436"/>
      <c r="BD148" s="436"/>
      <c r="BE148" s="436"/>
      <c r="BF148" s="436"/>
      <c r="BG148" s="436"/>
      <c r="BH148" s="436"/>
      <c r="BI148" s="436"/>
      <c r="BJ148" s="436"/>
      <c r="BK148" s="436"/>
      <c r="BL148" s="436"/>
      <c r="BM148" s="436"/>
      <c r="BN148" s="436"/>
      <c r="BO148" s="436"/>
      <c r="BP148" s="436"/>
      <c r="BQ148" s="436"/>
      <c r="BR148" s="436"/>
      <c r="BS148" s="436"/>
      <c r="BT148" s="436"/>
      <c r="BU148" s="436"/>
      <c r="BV148" s="436"/>
      <c r="BW148" s="436"/>
      <c r="BX148" s="436"/>
      <c r="BY148" s="436"/>
      <c r="BZ148" s="436"/>
      <c r="CA148" s="436"/>
      <c r="CB148" s="436"/>
      <c r="CC148" s="436"/>
      <c r="CD148" s="436"/>
      <c r="CE148" s="437">
        <f>SUM(IF(COLUMN($C148:$CD148)&lt;(3+'2、试卷（期末）'!$B$2),$C148:$CD148,))</f>
        <v>0</v>
      </c>
      <c r="CF148" s="437">
        <f>SUM(IF(COLUMN($C148:$CD148)&lt;(3+SUM('2、试卷（期末）'!$B$2:$B$3)),$C148:$CD148,))-$CE148</f>
        <v>0</v>
      </c>
      <c r="CG148" s="437">
        <f>SUM(IF(COLUMN($C148:$CD148)&lt;(3+SUM('2、试卷（期末）'!$B$2:$B$4)),$C148:$CD148,))-SUM($CE148:$CF148)</f>
        <v>0</v>
      </c>
      <c r="CH148" s="437">
        <f>SUM(IF(COLUMN($C148:$CD148)&lt;(3+SUM('2、试卷（期末）'!$B$2:$B$5)),$C148:$CD148,))-SUM($CE148:$CG148)</f>
        <v>0</v>
      </c>
      <c r="CI148" s="437">
        <f>SUM(IF(COLUMN($C148:$CD148)&lt;(3+SUM('2、试卷（期末）'!$B$2:$B$6)),$C148:$CD148,))-SUM($CE148:$CH148)</f>
        <v>0</v>
      </c>
      <c r="CJ148" s="437">
        <f>SUM(IF(COLUMN($C148:$CD148)&lt;(3+SUM('2、试卷（期末）'!$B$2:$B$7)),$C148:$CD148,))-SUM($CE148:$CI148)</f>
        <v>0</v>
      </c>
      <c r="CK148" s="437">
        <f>SUM(IF(COLUMN($C148:$CD148)&lt;(3+SUM('2、试卷（期末）'!$B$2:$B$8)),$C148:$CD148,))-SUM($CE148:$CJ148)</f>
        <v>0</v>
      </c>
      <c r="CL148" s="437">
        <f>SUM(IF(COLUMN($C148:$CD148)&lt;(3+SUM('2、试卷（期末）'!$B$2:$B$9)),$C148:$CD148,))-SUM($CE148:$CK148)</f>
        <v>0</v>
      </c>
      <c r="CM148" s="437">
        <f>SUM(IF(COLUMN($C148:$CD148)&lt;(3+SUM('2、试卷（期末）'!$B$2:$B$10)),$C148:$CD148,))-SUM($CE148:$CL148)</f>
        <v>0</v>
      </c>
      <c r="CN148" s="437">
        <f>SUM(IF(COLUMN($C148:$CD148)&lt;(3+SUM('2、试卷（期末）'!$B$2:$B$11)),$C148:$CD148,))-SUM($CE148:$CM148)</f>
        <v>0</v>
      </c>
      <c r="CO148" s="437">
        <f t="shared" si="4"/>
        <v>0</v>
      </c>
      <c r="CP148" s="438">
        <f ca="1">ROUND(CO148*'1、课程目标与考核方式'!$H$13/100+IF(ISERROR(VLOOKUP(A148,'4、平时成绩'!$A$2:$H$201,8,FALSE)),0,VLOOKUP(A148,'4、平时成绩'!$A$2:$H$201,8,FALSE)),0)</f>
        <v>0</v>
      </c>
    </row>
    <row r="149" s="32" customFormat="1" spans="1:94">
      <c r="A149" s="443"/>
      <c r="B149" s="443"/>
      <c r="C149" s="436"/>
      <c r="D149" s="436"/>
      <c r="E149" s="436"/>
      <c r="F149" s="436"/>
      <c r="G149" s="436"/>
      <c r="H149" s="436"/>
      <c r="I149" s="436"/>
      <c r="J149" s="436"/>
      <c r="K149" s="436"/>
      <c r="L149" s="436"/>
      <c r="M149" s="436"/>
      <c r="N149" s="436"/>
      <c r="O149" s="436"/>
      <c r="P149" s="436"/>
      <c r="Q149" s="436"/>
      <c r="R149" s="436"/>
      <c r="S149" s="436"/>
      <c r="T149" s="436"/>
      <c r="U149" s="436"/>
      <c r="V149" s="436"/>
      <c r="W149" s="436"/>
      <c r="X149" s="436"/>
      <c r="Y149" s="436"/>
      <c r="Z149" s="436"/>
      <c r="AA149" s="436"/>
      <c r="AB149" s="436"/>
      <c r="AC149" s="436"/>
      <c r="AD149" s="436"/>
      <c r="AE149" s="436"/>
      <c r="AF149" s="436"/>
      <c r="AG149" s="436"/>
      <c r="AH149" s="436"/>
      <c r="AI149" s="436"/>
      <c r="AJ149" s="436"/>
      <c r="AK149" s="436"/>
      <c r="AL149" s="436"/>
      <c r="AM149" s="436"/>
      <c r="AN149" s="436"/>
      <c r="AO149" s="436"/>
      <c r="AP149" s="436"/>
      <c r="AQ149" s="436"/>
      <c r="AR149" s="436"/>
      <c r="AS149" s="436"/>
      <c r="AT149" s="436"/>
      <c r="AU149" s="436"/>
      <c r="AV149" s="436"/>
      <c r="AW149" s="436"/>
      <c r="AX149" s="436"/>
      <c r="AY149" s="436"/>
      <c r="AZ149" s="436"/>
      <c r="BA149" s="436"/>
      <c r="BB149" s="436"/>
      <c r="BC149" s="436"/>
      <c r="BD149" s="436"/>
      <c r="BE149" s="436"/>
      <c r="BF149" s="436"/>
      <c r="BG149" s="436"/>
      <c r="BH149" s="436"/>
      <c r="BI149" s="436"/>
      <c r="BJ149" s="436"/>
      <c r="BK149" s="436"/>
      <c r="BL149" s="436"/>
      <c r="BM149" s="436"/>
      <c r="BN149" s="436"/>
      <c r="BO149" s="436"/>
      <c r="BP149" s="436"/>
      <c r="BQ149" s="436"/>
      <c r="BR149" s="436"/>
      <c r="BS149" s="436"/>
      <c r="BT149" s="436"/>
      <c r="BU149" s="436"/>
      <c r="BV149" s="436"/>
      <c r="BW149" s="436"/>
      <c r="BX149" s="436"/>
      <c r="BY149" s="436"/>
      <c r="BZ149" s="436"/>
      <c r="CA149" s="436"/>
      <c r="CB149" s="436"/>
      <c r="CC149" s="436"/>
      <c r="CD149" s="436"/>
      <c r="CE149" s="437">
        <f>SUM(IF(COLUMN($C149:$CD149)&lt;(3+'2、试卷（期末）'!$B$2),$C149:$CD149,))</f>
        <v>0</v>
      </c>
      <c r="CF149" s="437">
        <f>SUM(IF(COLUMN($C149:$CD149)&lt;(3+SUM('2、试卷（期末）'!$B$2:$B$3)),$C149:$CD149,))-$CE149</f>
        <v>0</v>
      </c>
      <c r="CG149" s="437">
        <f>SUM(IF(COLUMN($C149:$CD149)&lt;(3+SUM('2、试卷（期末）'!$B$2:$B$4)),$C149:$CD149,))-SUM($CE149:$CF149)</f>
        <v>0</v>
      </c>
      <c r="CH149" s="437">
        <f>SUM(IF(COLUMN($C149:$CD149)&lt;(3+SUM('2、试卷（期末）'!$B$2:$B$5)),$C149:$CD149,))-SUM($CE149:$CG149)</f>
        <v>0</v>
      </c>
      <c r="CI149" s="437">
        <f>SUM(IF(COLUMN($C149:$CD149)&lt;(3+SUM('2、试卷（期末）'!$B$2:$B$6)),$C149:$CD149,))-SUM($CE149:$CH149)</f>
        <v>0</v>
      </c>
      <c r="CJ149" s="437">
        <f>SUM(IF(COLUMN($C149:$CD149)&lt;(3+SUM('2、试卷（期末）'!$B$2:$B$7)),$C149:$CD149,))-SUM($CE149:$CI149)</f>
        <v>0</v>
      </c>
      <c r="CK149" s="437">
        <f>SUM(IF(COLUMN($C149:$CD149)&lt;(3+SUM('2、试卷（期末）'!$B$2:$B$8)),$C149:$CD149,))-SUM($CE149:$CJ149)</f>
        <v>0</v>
      </c>
      <c r="CL149" s="437">
        <f>SUM(IF(COLUMN($C149:$CD149)&lt;(3+SUM('2、试卷（期末）'!$B$2:$B$9)),$C149:$CD149,))-SUM($CE149:$CK149)</f>
        <v>0</v>
      </c>
      <c r="CM149" s="437">
        <f>SUM(IF(COLUMN($C149:$CD149)&lt;(3+SUM('2、试卷（期末）'!$B$2:$B$10)),$C149:$CD149,))-SUM($CE149:$CL149)</f>
        <v>0</v>
      </c>
      <c r="CN149" s="437">
        <f>SUM(IF(COLUMN($C149:$CD149)&lt;(3+SUM('2、试卷（期末）'!$B$2:$B$11)),$C149:$CD149,))-SUM($CE149:$CM149)</f>
        <v>0</v>
      </c>
      <c r="CO149" s="437">
        <f t="shared" si="4"/>
        <v>0</v>
      </c>
      <c r="CP149" s="438">
        <f ca="1">ROUND(CO149*'1、课程目标与考核方式'!$H$13/100+IF(ISERROR(VLOOKUP(A149,'4、平时成绩'!$A$2:$H$201,8,FALSE)),0,VLOOKUP(A149,'4、平时成绩'!$A$2:$H$201,8,FALSE)),0)</f>
        <v>0</v>
      </c>
    </row>
    <row r="150" s="32" customFormat="1" spans="1:94">
      <c r="A150" s="443"/>
      <c r="B150" s="443"/>
      <c r="C150" s="436"/>
      <c r="D150" s="436"/>
      <c r="E150" s="436"/>
      <c r="F150" s="436"/>
      <c r="G150" s="436"/>
      <c r="H150" s="436"/>
      <c r="I150" s="436"/>
      <c r="J150" s="436"/>
      <c r="K150" s="436"/>
      <c r="L150" s="436"/>
      <c r="M150" s="436"/>
      <c r="N150" s="436"/>
      <c r="O150" s="436"/>
      <c r="P150" s="436"/>
      <c r="Q150" s="436"/>
      <c r="R150" s="436"/>
      <c r="S150" s="436"/>
      <c r="T150" s="436"/>
      <c r="U150" s="436"/>
      <c r="V150" s="436"/>
      <c r="W150" s="436"/>
      <c r="X150" s="436"/>
      <c r="Y150" s="436"/>
      <c r="Z150" s="436"/>
      <c r="AA150" s="436"/>
      <c r="AB150" s="436"/>
      <c r="AC150" s="436"/>
      <c r="AD150" s="436"/>
      <c r="AE150" s="436"/>
      <c r="AF150" s="436"/>
      <c r="AG150" s="436"/>
      <c r="AH150" s="436"/>
      <c r="AI150" s="436"/>
      <c r="AJ150" s="436"/>
      <c r="AK150" s="436"/>
      <c r="AL150" s="436"/>
      <c r="AM150" s="436"/>
      <c r="AN150" s="436"/>
      <c r="AO150" s="436"/>
      <c r="AP150" s="436"/>
      <c r="AQ150" s="436"/>
      <c r="AR150" s="436"/>
      <c r="AS150" s="436"/>
      <c r="AT150" s="436"/>
      <c r="AU150" s="436"/>
      <c r="AV150" s="436"/>
      <c r="AW150" s="436"/>
      <c r="AX150" s="436"/>
      <c r="AY150" s="436"/>
      <c r="AZ150" s="436"/>
      <c r="BA150" s="436"/>
      <c r="BB150" s="436"/>
      <c r="BC150" s="436"/>
      <c r="BD150" s="436"/>
      <c r="BE150" s="436"/>
      <c r="BF150" s="436"/>
      <c r="BG150" s="436"/>
      <c r="BH150" s="436"/>
      <c r="BI150" s="436"/>
      <c r="BJ150" s="436"/>
      <c r="BK150" s="436"/>
      <c r="BL150" s="436"/>
      <c r="BM150" s="436"/>
      <c r="BN150" s="436"/>
      <c r="BO150" s="436"/>
      <c r="BP150" s="436"/>
      <c r="BQ150" s="436"/>
      <c r="BR150" s="436"/>
      <c r="BS150" s="436"/>
      <c r="BT150" s="436"/>
      <c r="BU150" s="436"/>
      <c r="BV150" s="436"/>
      <c r="BW150" s="436"/>
      <c r="BX150" s="436"/>
      <c r="BY150" s="436"/>
      <c r="BZ150" s="436"/>
      <c r="CA150" s="436"/>
      <c r="CB150" s="436"/>
      <c r="CC150" s="436"/>
      <c r="CD150" s="436"/>
      <c r="CE150" s="437">
        <f>SUM(IF(COLUMN($C150:$CD150)&lt;(3+'2、试卷（期末）'!$B$2),$C150:$CD150,))</f>
        <v>0</v>
      </c>
      <c r="CF150" s="437">
        <f>SUM(IF(COLUMN($C150:$CD150)&lt;(3+SUM('2、试卷（期末）'!$B$2:$B$3)),$C150:$CD150,))-$CE150</f>
        <v>0</v>
      </c>
      <c r="CG150" s="437">
        <f>SUM(IF(COLUMN($C150:$CD150)&lt;(3+SUM('2、试卷（期末）'!$B$2:$B$4)),$C150:$CD150,))-SUM($CE150:$CF150)</f>
        <v>0</v>
      </c>
      <c r="CH150" s="437">
        <f>SUM(IF(COLUMN($C150:$CD150)&lt;(3+SUM('2、试卷（期末）'!$B$2:$B$5)),$C150:$CD150,))-SUM($CE150:$CG150)</f>
        <v>0</v>
      </c>
      <c r="CI150" s="437">
        <f>SUM(IF(COLUMN($C150:$CD150)&lt;(3+SUM('2、试卷（期末）'!$B$2:$B$6)),$C150:$CD150,))-SUM($CE150:$CH150)</f>
        <v>0</v>
      </c>
      <c r="CJ150" s="437">
        <f>SUM(IF(COLUMN($C150:$CD150)&lt;(3+SUM('2、试卷（期末）'!$B$2:$B$7)),$C150:$CD150,))-SUM($CE150:$CI150)</f>
        <v>0</v>
      </c>
      <c r="CK150" s="437">
        <f>SUM(IF(COLUMN($C150:$CD150)&lt;(3+SUM('2、试卷（期末）'!$B$2:$B$8)),$C150:$CD150,))-SUM($CE150:$CJ150)</f>
        <v>0</v>
      </c>
      <c r="CL150" s="437">
        <f>SUM(IF(COLUMN($C150:$CD150)&lt;(3+SUM('2、试卷（期末）'!$B$2:$B$9)),$C150:$CD150,))-SUM($CE150:$CK150)</f>
        <v>0</v>
      </c>
      <c r="CM150" s="437">
        <f>SUM(IF(COLUMN($C150:$CD150)&lt;(3+SUM('2、试卷（期末）'!$B$2:$B$10)),$C150:$CD150,))-SUM($CE150:$CL150)</f>
        <v>0</v>
      </c>
      <c r="CN150" s="437">
        <f>SUM(IF(COLUMN($C150:$CD150)&lt;(3+SUM('2、试卷（期末）'!$B$2:$B$11)),$C150:$CD150,))-SUM($CE150:$CM150)</f>
        <v>0</v>
      </c>
      <c r="CO150" s="437">
        <f t="shared" si="4"/>
        <v>0</v>
      </c>
      <c r="CP150" s="438">
        <f ca="1">ROUND(CO150*'1、课程目标与考核方式'!$H$13/100+IF(ISERROR(VLOOKUP(A150,'4、平时成绩'!$A$2:$H$201,8,FALSE)),0,VLOOKUP(A150,'4、平时成绩'!$A$2:$H$201,8,FALSE)),0)</f>
        <v>0</v>
      </c>
    </row>
    <row r="151" s="32" customFormat="1" spans="1:94">
      <c r="A151" s="443"/>
      <c r="B151" s="443"/>
      <c r="C151" s="436"/>
      <c r="D151" s="436"/>
      <c r="E151" s="436"/>
      <c r="F151" s="436"/>
      <c r="G151" s="436"/>
      <c r="H151" s="436"/>
      <c r="I151" s="436"/>
      <c r="J151" s="436"/>
      <c r="K151" s="436"/>
      <c r="L151" s="436"/>
      <c r="M151" s="436"/>
      <c r="N151" s="436"/>
      <c r="O151" s="436"/>
      <c r="P151" s="436"/>
      <c r="Q151" s="436"/>
      <c r="R151" s="436"/>
      <c r="S151" s="436"/>
      <c r="T151" s="436"/>
      <c r="U151" s="436"/>
      <c r="V151" s="436"/>
      <c r="W151" s="436"/>
      <c r="X151" s="436"/>
      <c r="Y151" s="436"/>
      <c r="Z151" s="436"/>
      <c r="AA151" s="436"/>
      <c r="AB151" s="436"/>
      <c r="AC151" s="436"/>
      <c r="AD151" s="436"/>
      <c r="AE151" s="436"/>
      <c r="AF151" s="436"/>
      <c r="AG151" s="436"/>
      <c r="AH151" s="436"/>
      <c r="AI151" s="436"/>
      <c r="AJ151" s="436"/>
      <c r="AK151" s="436"/>
      <c r="AL151" s="436"/>
      <c r="AM151" s="436"/>
      <c r="AN151" s="436"/>
      <c r="AO151" s="436"/>
      <c r="AP151" s="436"/>
      <c r="AQ151" s="436"/>
      <c r="AR151" s="436"/>
      <c r="AS151" s="436"/>
      <c r="AT151" s="436"/>
      <c r="AU151" s="436"/>
      <c r="AV151" s="436"/>
      <c r="AW151" s="436"/>
      <c r="AX151" s="436"/>
      <c r="AY151" s="436"/>
      <c r="AZ151" s="436"/>
      <c r="BA151" s="436"/>
      <c r="BB151" s="436"/>
      <c r="BC151" s="436"/>
      <c r="BD151" s="436"/>
      <c r="BE151" s="436"/>
      <c r="BF151" s="436"/>
      <c r="BG151" s="436"/>
      <c r="BH151" s="436"/>
      <c r="BI151" s="436"/>
      <c r="BJ151" s="436"/>
      <c r="BK151" s="436"/>
      <c r="BL151" s="436"/>
      <c r="BM151" s="436"/>
      <c r="BN151" s="436"/>
      <c r="BO151" s="436"/>
      <c r="BP151" s="436"/>
      <c r="BQ151" s="436"/>
      <c r="BR151" s="436"/>
      <c r="BS151" s="436"/>
      <c r="BT151" s="436"/>
      <c r="BU151" s="436"/>
      <c r="BV151" s="436"/>
      <c r="BW151" s="436"/>
      <c r="BX151" s="436"/>
      <c r="BY151" s="436"/>
      <c r="BZ151" s="436"/>
      <c r="CA151" s="436"/>
      <c r="CB151" s="436"/>
      <c r="CC151" s="436"/>
      <c r="CD151" s="436"/>
      <c r="CE151" s="437">
        <f>SUM(IF(COLUMN($C151:$CD151)&lt;(3+'2、试卷（期末）'!$B$2),$C151:$CD151,))</f>
        <v>0</v>
      </c>
      <c r="CF151" s="437">
        <f>SUM(IF(COLUMN($C151:$CD151)&lt;(3+SUM('2、试卷（期末）'!$B$2:$B$3)),$C151:$CD151,))-$CE151</f>
        <v>0</v>
      </c>
      <c r="CG151" s="437">
        <f>SUM(IF(COLUMN($C151:$CD151)&lt;(3+SUM('2、试卷（期末）'!$B$2:$B$4)),$C151:$CD151,))-SUM($CE151:$CF151)</f>
        <v>0</v>
      </c>
      <c r="CH151" s="437">
        <f>SUM(IF(COLUMN($C151:$CD151)&lt;(3+SUM('2、试卷（期末）'!$B$2:$B$5)),$C151:$CD151,))-SUM($CE151:$CG151)</f>
        <v>0</v>
      </c>
      <c r="CI151" s="437">
        <f>SUM(IF(COLUMN($C151:$CD151)&lt;(3+SUM('2、试卷（期末）'!$B$2:$B$6)),$C151:$CD151,))-SUM($CE151:$CH151)</f>
        <v>0</v>
      </c>
      <c r="CJ151" s="437">
        <f>SUM(IF(COLUMN($C151:$CD151)&lt;(3+SUM('2、试卷（期末）'!$B$2:$B$7)),$C151:$CD151,))-SUM($CE151:$CI151)</f>
        <v>0</v>
      </c>
      <c r="CK151" s="437">
        <f>SUM(IF(COLUMN($C151:$CD151)&lt;(3+SUM('2、试卷（期末）'!$B$2:$B$8)),$C151:$CD151,))-SUM($CE151:$CJ151)</f>
        <v>0</v>
      </c>
      <c r="CL151" s="437">
        <f>SUM(IF(COLUMN($C151:$CD151)&lt;(3+SUM('2、试卷（期末）'!$B$2:$B$9)),$C151:$CD151,))-SUM($CE151:$CK151)</f>
        <v>0</v>
      </c>
      <c r="CM151" s="437">
        <f>SUM(IF(COLUMN($C151:$CD151)&lt;(3+SUM('2、试卷（期末）'!$B$2:$B$10)),$C151:$CD151,))-SUM($CE151:$CL151)</f>
        <v>0</v>
      </c>
      <c r="CN151" s="437">
        <f>SUM(IF(COLUMN($C151:$CD151)&lt;(3+SUM('2、试卷（期末）'!$B$2:$B$11)),$C151:$CD151,))-SUM($CE151:$CM151)</f>
        <v>0</v>
      </c>
      <c r="CO151" s="437">
        <f t="shared" si="4"/>
        <v>0</v>
      </c>
      <c r="CP151" s="438">
        <f ca="1">ROUND(CO151*'1、课程目标与考核方式'!$H$13/100+IF(ISERROR(VLOOKUP(A151,'4、平时成绩'!$A$2:$H$201,8,FALSE)),0,VLOOKUP(A151,'4、平时成绩'!$A$2:$H$201,8,FALSE)),0)</f>
        <v>0</v>
      </c>
    </row>
    <row r="152" s="32" customFormat="1" spans="1:94">
      <c r="A152" s="443"/>
      <c r="B152" s="443"/>
      <c r="C152" s="436"/>
      <c r="D152" s="436"/>
      <c r="E152" s="436"/>
      <c r="F152" s="436"/>
      <c r="G152" s="436"/>
      <c r="H152" s="436"/>
      <c r="I152" s="436"/>
      <c r="J152" s="436"/>
      <c r="K152" s="436"/>
      <c r="L152" s="436"/>
      <c r="M152" s="436"/>
      <c r="N152" s="436"/>
      <c r="O152" s="436"/>
      <c r="P152" s="436"/>
      <c r="Q152" s="436"/>
      <c r="R152" s="436"/>
      <c r="S152" s="436"/>
      <c r="T152" s="436"/>
      <c r="U152" s="436"/>
      <c r="V152" s="436"/>
      <c r="W152" s="436"/>
      <c r="X152" s="436"/>
      <c r="Y152" s="436"/>
      <c r="Z152" s="436"/>
      <c r="AA152" s="436"/>
      <c r="AB152" s="436"/>
      <c r="AC152" s="436"/>
      <c r="AD152" s="436"/>
      <c r="AE152" s="436"/>
      <c r="AF152" s="436"/>
      <c r="AG152" s="436"/>
      <c r="AH152" s="436"/>
      <c r="AI152" s="436"/>
      <c r="AJ152" s="436"/>
      <c r="AK152" s="436"/>
      <c r="AL152" s="436"/>
      <c r="AM152" s="436"/>
      <c r="AN152" s="436"/>
      <c r="AO152" s="436"/>
      <c r="AP152" s="436"/>
      <c r="AQ152" s="436"/>
      <c r="AR152" s="436"/>
      <c r="AS152" s="436"/>
      <c r="AT152" s="436"/>
      <c r="AU152" s="436"/>
      <c r="AV152" s="436"/>
      <c r="AW152" s="436"/>
      <c r="AX152" s="436"/>
      <c r="AY152" s="436"/>
      <c r="AZ152" s="436"/>
      <c r="BA152" s="436"/>
      <c r="BB152" s="436"/>
      <c r="BC152" s="436"/>
      <c r="BD152" s="436"/>
      <c r="BE152" s="436"/>
      <c r="BF152" s="436"/>
      <c r="BG152" s="436"/>
      <c r="BH152" s="436"/>
      <c r="BI152" s="436"/>
      <c r="BJ152" s="436"/>
      <c r="BK152" s="436"/>
      <c r="BL152" s="436"/>
      <c r="BM152" s="436"/>
      <c r="BN152" s="436"/>
      <c r="BO152" s="436"/>
      <c r="BP152" s="436"/>
      <c r="BQ152" s="436"/>
      <c r="BR152" s="436"/>
      <c r="BS152" s="436"/>
      <c r="BT152" s="436"/>
      <c r="BU152" s="436"/>
      <c r="BV152" s="436"/>
      <c r="BW152" s="436"/>
      <c r="BX152" s="436"/>
      <c r="BY152" s="436"/>
      <c r="BZ152" s="436"/>
      <c r="CA152" s="436"/>
      <c r="CB152" s="436"/>
      <c r="CC152" s="436"/>
      <c r="CD152" s="436"/>
      <c r="CE152" s="437">
        <f>SUM(IF(COLUMN($C152:$CD152)&lt;(3+'2、试卷（期末）'!$B$2),$C152:$CD152,))</f>
        <v>0</v>
      </c>
      <c r="CF152" s="437">
        <f>SUM(IF(COLUMN($C152:$CD152)&lt;(3+SUM('2、试卷（期末）'!$B$2:$B$3)),$C152:$CD152,))-$CE152</f>
        <v>0</v>
      </c>
      <c r="CG152" s="437">
        <f>SUM(IF(COLUMN($C152:$CD152)&lt;(3+SUM('2、试卷（期末）'!$B$2:$B$4)),$C152:$CD152,))-SUM($CE152:$CF152)</f>
        <v>0</v>
      </c>
      <c r="CH152" s="437">
        <f>SUM(IF(COLUMN($C152:$CD152)&lt;(3+SUM('2、试卷（期末）'!$B$2:$B$5)),$C152:$CD152,))-SUM($CE152:$CG152)</f>
        <v>0</v>
      </c>
      <c r="CI152" s="437">
        <f>SUM(IF(COLUMN($C152:$CD152)&lt;(3+SUM('2、试卷（期末）'!$B$2:$B$6)),$C152:$CD152,))-SUM($CE152:$CH152)</f>
        <v>0</v>
      </c>
      <c r="CJ152" s="437">
        <f>SUM(IF(COLUMN($C152:$CD152)&lt;(3+SUM('2、试卷（期末）'!$B$2:$B$7)),$C152:$CD152,))-SUM($CE152:$CI152)</f>
        <v>0</v>
      </c>
      <c r="CK152" s="437">
        <f>SUM(IF(COLUMN($C152:$CD152)&lt;(3+SUM('2、试卷（期末）'!$B$2:$B$8)),$C152:$CD152,))-SUM($CE152:$CJ152)</f>
        <v>0</v>
      </c>
      <c r="CL152" s="437">
        <f>SUM(IF(COLUMN($C152:$CD152)&lt;(3+SUM('2、试卷（期末）'!$B$2:$B$9)),$C152:$CD152,))-SUM($CE152:$CK152)</f>
        <v>0</v>
      </c>
      <c r="CM152" s="437">
        <f>SUM(IF(COLUMN($C152:$CD152)&lt;(3+SUM('2、试卷（期末）'!$B$2:$B$10)),$C152:$CD152,))-SUM($CE152:$CL152)</f>
        <v>0</v>
      </c>
      <c r="CN152" s="437">
        <f>SUM(IF(COLUMN($C152:$CD152)&lt;(3+SUM('2、试卷（期末）'!$B$2:$B$11)),$C152:$CD152,))-SUM($CE152:$CM152)</f>
        <v>0</v>
      </c>
      <c r="CO152" s="437">
        <f t="shared" si="4"/>
        <v>0</v>
      </c>
      <c r="CP152" s="438">
        <f ca="1">ROUND(CO152*'1、课程目标与考核方式'!$H$13/100+IF(ISERROR(VLOOKUP(A152,'4、平时成绩'!$A$2:$H$201,8,FALSE)),0,VLOOKUP(A152,'4、平时成绩'!$A$2:$H$201,8,FALSE)),0)</f>
        <v>0</v>
      </c>
    </row>
    <row r="153" s="32" customFormat="1" spans="1:94">
      <c r="A153" s="443"/>
      <c r="B153" s="443"/>
      <c r="C153" s="436"/>
      <c r="D153" s="436"/>
      <c r="E153" s="436"/>
      <c r="F153" s="436"/>
      <c r="G153" s="436"/>
      <c r="H153" s="436"/>
      <c r="I153" s="436"/>
      <c r="J153" s="436"/>
      <c r="K153" s="436"/>
      <c r="L153" s="436"/>
      <c r="M153" s="436"/>
      <c r="N153" s="436"/>
      <c r="O153" s="436"/>
      <c r="P153" s="436"/>
      <c r="Q153" s="436"/>
      <c r="R153" s="436"/>
      <c r="S153" s="436"/>
      <c r="T153" s="436"/>
      <c r="U153" s="436"/>
      <c r="V153" s="436"/>
      <c r="W153" s="436"/>
      <c r="X153" s="436"/>
      <c r="Y153" s="436"/>
      <c r="Z153" s="436"/>
      <c r="AA153" s="436"/>
      <c r="AB153" s="436"/>
      <c r="AC153" s="436"/>
      <c r="AD153" s="436"/>
      <c r="AE153" s="436"/>
      <c r="AF153" s="436"/>
      <c r="AG153" s="436"/>
      <c r="AH153" s="436"/>
      <c r="AI153" s="436"/>
      <c r="AJ153" s="436"/>
      <c r="AK153" s="436"/>
      <c r="AL153" s="436"/>
      <c r="AM153" s="436"/>
      <c r="AN153" s="436"/>
      <c r="AO153" s="436"/>
      <c r="AP153" s="436"/>
      <c r="AQ153" s="436"/>
      <c r="AR153" s="436"/>
      <c r="AS153" s="436"/>
      <c r="AT153" s="436"/>
      <c r="AU153" s="436"/>
      <c r="AV153" s="436"/>
      <c r="AW153" s="436"/>
      <c r="AX153" s="436"/>
      <c r="AY153" s="436"/>
      <c r="AZ153" s="436"/>
      <c r="BA153" s="436"/>
      <c r="BB153" s="436"/>
      <c r="BC153" s="436"/>
      <c r="BD153" s="436"/>
      <c r="BE153" s="436"/>
      <c r="BF153" s="436"/>
      <c r="BG153" s="436"/>
      <c r="BH153" s="436"/>
      <c r="BI153" s="436"/>
      <c r="BJ153" s="436"/>
      <c r="BK153" s="436"/>
      <c r="BL153" s="436"/>
      <c r="BM153" s="436"/>
      <c r="BN153" s="436"/>
      <c r="BO153" s="436"/>
      <c r="BP153" s="436"/>
      <c r="BQ153" s="436"/>
      <c r="BR153" s="436"/>
      <c r="BS153" s="436"/>
      <c r="BT153" s="436"/>
      <c r="BU153" s="436"/>
      <c r="BV153" s="436"/>
      <c r="BW153" s="436"/>
      <c r="BX153" s="436"/>
      <c r="BY153" s="436"/>
      <c r="BZ153" s="436"/>
      <c r="CA153" s="436"/>
      <c r="CB153" s="436"/>
      <c r="CC153" s="436"/>
      <c r="CD153" s="436"/>
      <c r="CE153" s="437">
        <f>SUM(IF(COLUMN($C153:$CD153)&lt;(3+'2、试卷（期末）'!$B$2),$C153:$CD153,))</f>
        <v>0</v>
      </c>
      <c r="CF153" s="437">
        <f>SUM(IF(COLUMN($C153:$CD153)&lt;(3+SUM('2、试卷（期末）'!$B$2:$B$3)),$C153:$CD153,))-$CE153</f>
        <v>0</v>
      </c>
      <c r="CG153" s="437">
        <f>SUM(IF(COLUMN($C153:$CD153)&lt;(3+SUM('2、试卷（期末）'!$B$2:$B$4)),$C153:$CD153,))-SUM($CE153:$CF153)</f>
        <v>0</v>
      </c>
      <c r="CH153" s="437">
        <f>SUM(IF(COLUMN($C153:$CD153)&lt;(3+SUM('2、试卷（期末）'!$B$2:$B$5)),$C153:$CD153,))-SUM($CE153:$CG153)</f>
        <v>0</v>
      </c>
      <c r="CI153" s="437">
        <f>SUM(IF(COLUMN($C153:$CD153)&lt;(3+SUM('2、试卷（期末）'!$B$2:$B$6)),$C153:$CD153,))-SUM($CE153:$CH153)</f>
        <v>0</v>
      </c>
      <c r="CJ153" s="437">
        <f>SUM(IF(COLUMN($C153:$CD153)&lt;(3+SUM('2、试卷（期末）'!$B$2:$B$7)),$C153:$CD153,))-SUM($CE153:$CI153)</f>
        <v>0</v>
      </c>
      <c r="CK153" s="437">
        <f>SUM(IF(COLUMN($C153:$CD153)&lt;(3+SUM('2、试卷（期末）'!$B$2:$B$8)),$C153:$CD153,))-SUM($CE153:$CJ153)</f>
        <v>0</v>
      </c>
      <c r="CL153" s="437">
        <f>SUM(IF(COLUMN($C153:$CD153)&lt;(3+SUM('2、试卷（期末）'!$B$2:$B$9)),$C153:$CD153,))-SUM($CE153:$CK153)</f>
        <v>0</v>
      </c>
      <c r="CM153" s="437">
        <f>SUM(IF(COLUMN($C153:$CD153)&lt;(3+SUM('2、试卷（期末）'!$B$2:$B$10)),$C153:$CD153,))-SUM($CE153:$CL153)</f>
        <v>0</v>
      </c>
      <c r="CN153" s="437">
        <f>SUM(IF(COLUMN($C153:$CD153)&lt;(3+SUM('2、试卷（期末）'!$B$2:$B$11)),$C153:$CD153,))-SUM($CE153:$CM153)</f>
        <v>0</v>
      </c>
      <c r="CO153" s="437">
        <f t="shared" si="4"/>
        <v>0</v>
      </c>
      <c r="CP153" s="438">
        <f ca="1">ROUND(CO153*'1、课程目标与考核方式'!$H$13/100+IF(ISERROR(VLOOKUP(A153,'4、平时成绩'!$A$2:$H$201,8,FALSE)),0,VLOOKUP(A153,'4、平时成绩'!$A$2:$H$201,8,FALSE)),0)</f>
        <v>0</v>
      </c>
    </row>
    <row r="154" s="32" customFormat="1" spans="1:94">
      <c r="A154" s="443"/>
      <c r="B154" s="443"/>
      <c r="C154" s="436"/>
      <c r="D154" s="436"/>
      <c r="E154" s="436"/>
      <c r="F154" s="436"/>
      <c r="G154" s="436"/>
      <c r="H154" s="436"/>
      <c r="I154" s="436"/>
      <c r="J154" s="436"/>
      <c r="K154" s="436"/>
      <c r="L154" s="436"/>
      <c r="M154" s="436"/>
      <c r="N154" s="436"/>
      <c r="O154" s="436"/>
      <c r="P154" s="436"/>
      <c r="Q154" s="436"/>
      <c r="R154" s="436"/>
      <c r="S154" s="436"/>
      <c r="T154" s="436"/>
      <c r="U154" s="436"/>
      <c r="V154" s="436"/>
      <c r="W154" s="436"/>
      <c r="X154" s="436"/>
      <c r="Y154" s="436"/>
      <c r="Z154" s="436"/>
      <c r="AA154" s="436"/>
      <c r="AB154" s="436"/>
      <c r="AC154" s="436"/>
      <c r="AD154" s="436"/>
      <c r="AE154" s="436"/>
      <c r="AF154" s="436"/>
      <c r="AG154" s="436"/>
      <c r="AH154" s="436"/>
      <c r="AI154" s="436"/>
      <c r="AJ154" s="436"/>
      <c r="AK154" s="436"/>
      <c r="AL154" s="436"/>
      <c r="AM154" s="436"/>
      <c r="AN154" s="436"/>
      <c r="AO154" s="436"/>
      <c r="AP154" s="436"/>
      <c r="AQ154" s="436"/>
      <c r="AR154" s="436"/>
      <c r="AS154" s="436"/>
      <c r="AT154" s="436"/>
      <c r="AU154" s="436"/>
      <c r="AV154" s="436"/>
      <c r="AW154" s="436"/>
      <c r="AX154" s="436"/>
      <c r="AY154" s="436"/>
      <c r="AZ154" s="436"/>
      <c r="BA154" s="436"/>
      <c r="BB154" s="436"/>
      <c r="BC154" s="436"/>
      <c r="BD154" s="436"/>
      <c r="BE154" s="436"/>
      <c r="BF154" s="436"/>
      <c r="BG154" s="436"/>
      <c r="BH154" s="436"/>
      <c r="BI154" s="436"/>
      <c r="BJ154" s="436"/>
      <c r="BK154" s="436"/>
      <c r="BL154" s="436"/>
      <c r="BM154" s="436"/>
      <c r="BN154" s="436"/>
      <c r="BO154" s="436"/>
      <c r="BP154" s="436"/>
      <c r="BQ154" s="436"/>
      <c r="BR154" s="436"/>
      <c r="BS154" s="436"/>
      <c r="BT154" s="436"/>
      <c r="BU154" s="436"/>
      <c r="BV154" s="436"/>
      <c r="BW154" s="436"/>
      <c r="BX154" s="436"/>
      <c r="BY154" s="436"/>
      <c r="BZ154" s="436"/>
      <c r="CA154" s="436"/>
      <c r="CB154" s="436"/>
      <c r="CC154" s="436"/>
      <c r="CD154" s="436"/>
      <c r="CE154" s="437">
        <f>SUM(IF(COLUMN($C154:$CD154)&lt;(3+'2、试卷（期末）'!$B$2),$C154:$CD154,))</f>
        <v>0</v>
      </c>
      <c r="CF154" s="437">
        <f>SUM(IF(COLUMN($C154:$CD154)&lt;(3+SUM('2、试卷（期末）'!$B$2:$B$3)),$C154:$CD154,))-$CE154</f>
        <v>0</v>
      </c>
      <c r="CG154" s="437">
        <f>SUM(IF(COLUMN($C154:$CD154)&lt;(3+SUM('2、试卷（期末）'!$B$2:$B$4)),$C154:$CD154,))-SUM($CE154:$CF154)</f>
        <v>0</v>
      </c>
      <c r="CH154" s="437">
        <f>SUM(IF(COLUMN($C154:$CD154)&lt;(3+SUM('2、试卷（期末）'!$B$2:$B$5)),$C154:$CD154,))-SUM($CE154:$CG154)</f>
        <v>0</v>
      </c>
      <c r="CI154" s="437">
        <f>SUM(IF(COLUMN($C154:$CD154)&lt;(3+SUM('2、试卷（期末）'!$B$2:$B$6)),$C154:$CD154,))-SUM($CE154:$CH154)</f>
        <v>0</v>
      </c>
      <c r="CJ154" s="437">
        <f>SUM(IF(COLUMN($C154:$CD154)&lt;(3+SUM('2、试卷（期末）'!$B$2:$B$7)),$C154:$CD154,))-SUM($CE154:$CI154)</f>
        <v>0</v>
      </c>
      <c r="CK154" s="437">
        <f>SUM(IF(COLUMN($C154:$CD154)&lt;(3+SUM('2、试卷（期末）'!$B$2:$B$8)),$C154:$CD154,))-SUM($CE154:$CJ154)</f>
        <v>0</v>
      </c>
      <c r="CL154" s="437">
        <f>SUM(IF(COLUMN($C154:$CD154)&lt;(3+SUM('2、试卷（期末）'!$B$2:$B$9)),$C154:$CD154,))-SUM($CE154:$CK154)</f>
        <v>0</v>
      </c>
      <c r="CM154" s="437">
        <f>SUM(IF(COLUMN($C154:$CD154)&lt;(3+SUM('2、试卷（期末）'!$B$2:$B$10)),$C154:$CD154,))-SUM($CE154:$CL154)</f>
        <v>0</v>
      </c>
      <c r="CN154" s="437">
        <f>SUM(IF(COLUMN($C154:$CD154)&lt;(3+SUM('2、试卷（期末）'!$B$2:$B$11)),$C154:$CD154,))-SUM($CE154:$CM154)</f>
        <v>0</v>
      </c>
      <c r="CO154" s="437">
        <f t="shared" si="4"/>
        <v>0</v>
      </c>
      <c r="CP154" s="438">
        <f ca="1">ROUND(CO154*'1、课程目标与考核方式'!$H$13/100+IF(ISERROR(VLOOKUP(A154,'4、平时成绩'!$A$2:$H$201,8,FALSE)),0,VLOOKUP(A154,'4、平时成绩'!$A$2:$H$201,8,FALSE)),0)</f>
        <v>0</v>
      </c>
    </row>
    <row r="155" s="32" customFormat="1" spans="1:94">
      <c r="A155" s="443"/>
      <c r="B155" s="443"/>
      <c r="C155" s="436"/>
      <c r="D155" s="436"/>
      <c r="E155" s="436"/>
      <c r="F155" s="436"/>
      <c r="G155" s="436"/>
      <c r="H155" s="436"/>
      <c r="I155" s="436"/>
      <c r="J155" s="436"/>
      <c r="K155" s="436"/>
      <c r="L155" s="436"/>
      <c r="M155" s="436"/>
      <c r="N155" s="436"/>
      <c r="O155" s="436"/>
      <c r="P155" s="436"/>
      <c r="Q155" s="436"/>
      <c r="R155" s="436"/>
      <c r="S155" s="436"/>
      <c r="T155" s="436"/>
      <c r="U155" s="436"/>
      <c r="V155" s="436"/>
      <c r="W155" s="436"/>
      <c r="X155" s="436"/>
      <c r="Y155" s="436"/>
      <c r="Z155" s="436"/>
      <c r="AA155" s="436"/>
      <c r="AB155" s="436"/>
      <c r="AC155" s="436"/>
      <c r="AD155" s="436"/>
      <c r="AE155" s="436"/>
      <c r="AF155" s="436"/>
      <c r="AG155" s="436"/>
      <c r="AH155" s="436"/>
      <c r="AI155" s="436"/>
      <c r="AJ155" s="436"/>
      <c r="AK155" s="436"/>
      <c r="AL155" s="436"/>
      <c r="AM155" s="436"/>
      <c r="AN155" s="436"/>
      <c r="AO155" s="436"/>
      <c r="AP155" s="436"/>
      <c r="AQ155" s="436"/>
      <c r="AR155" s="436"/>
      <c r="AS155" s="436"/>
      <c r="AT155" s="436"/>
      <c r="AU155" s="436"/>
      <c r="AV155" s="436"/>
      <c r="AW155" s="436"/>
      <c r="AX155" s="436"/>
      <c r="AY155" s="436"/>
      <c r="AZ155" s="436"/>
      <c r="BA155" s="436"/>
      <c r="BB155" s="436"/>
      <c r="BC155" s="436"/>
      <c r="BD155" s="436"/>
      <c r="BE155" s="436"/>
      <c r="BF155" s="436"/>
      <c r="BG155" s="436"/>
      <c r="BH155" s="436"/>
      <c r="BI155" s="436"/>
      <c r="BJ155" s="436"/>
      <c r="BK155" s="436"/>
      <c r="BL155" s="436"/>
      <c r="BM155" s="436"/>
      <c r="BN155" s="436"/>
      <c r="BO155" s="436"/>
      <c r="BP155" s="436"/>
      <c r="BQ155" s="436"/>
      <c r="BR155" s="436"/>
      <c r="BS155" s="436"/>
      <c r="BT155" s="436"/>
      <c r="BU155" s="436"/>
      <c r="BV155" s="436"/>
      <c r="BW155" s="436"/>
      <c r="BX155" s="436"/>
      <c r="BY155" s="436"/>
      <c r="BZ155" s="436"/>
      <c r="CA155" s="436"/>
      <c r="CB155" s="436"/>
      <c r="CC155" s="436"/>
      <c r="CD155" s="436"/>
      <c r="CE155" s="437">
        <f>SUM(IF(COLUMN($C155:$CD155)&lt;(3+'2、试卷（期末）'!$B$2),$C155:$CD155,))</f>
        <v>0</v>
      </c>
      <c r="CF155" s="437">
        <f>SUM(IF(COLUMN($C155:$CD155)&lt;(3+SUM('2、试卷（期末）'!$B$2:$B$3)),$C155:$CD155,))-$CE155</f>
        <v>0</v>
      </c>
      <c r="CG155" s="437">
        <f>SUM(IF(COLUMN($C155:$CD155)&lt;(3+SUM('2、试卷（期末）'!$B$2:$B$4)),$C155:$CD155,))-SUM($CE155:$CF155)</f>
        <v>0</v>
      </c>
      <c r="CH155" s="437">
        <f>SUM(IF(COLUMN($C155:$CD155)&lt;(3+SUM('2、试卷（期末）'!$B$2:$B$5)),$C155:$CD155,))-SUM($CE155:$CG155)</f>
        <v>0</v>
      </c>
      <c r="CI155" s="437">
        <f>SUM(IF(COLUMN($C155:$CD155)&lt;(3+SUM('2、试卷（期末）'!$B$2:$B$6)),$C155:$CD155,))-SUM($CE155:$CH155)</f>
        <v>0</v>
      </c>
      <c r="CJ155" s="437">
        <f>SUM(IF(COLUMN($C155:$CD155)&lt;(3+SUM('2、试卷（期末）'!$B$2:$B$7)),$C155:$CD155,))-SUM($CE155:$CI155)</f>
        <v>0</v>
      </c>
      <c r="CK155" s="437">
        <f>SUM(IF(COLUMN($C155:$CD155)&lt;(3+SUM('2、试卷（期末）'!$B$2:$B$8)),$C155:$CD155,))-SUM($CE155:$CJ155)</f>
        <v>0</v>
      </c>
      <c r="CL155" s="437">
        <f>SUM(IF(COLUMN($C155:$CD155)&lt;(3+SUM('2、试卷（期末）'!$B$2:$B$9)),$C155:$CD155,))-SUM($CE155:$CK155)</f>
        <v>0</v>
      </c>
      <c r="CM155" s="437">
        <f>SUM(IF(COLUMN($C155:$CD155)&lt;(3+SUM('2、试卷（期末）'!$B$2:$B$10)),$C155:$CD155,))-SUM($CE155:$CL155)</f>
        <v>0</v>
      </c>
      <c r="CN155" s="437">
        <f>SUM(IF(COLUMN($C155:$CD155)&lt;(3+SUM('2、试卷（期末）'!$B$2:$B$11)),$C155:$CD155,))-SUM($CE155:$CM155)</f>
        <v>0</v>
      </c>
      <c r="CO155" s="437">
        <f t="shared" si="4"/>
        <v>0</v>
      </c>
      <c r="CP155" s="438">
        <f ca="1">ROUND(CO155*'1、课程目标与考核方式'!$H$13/100+IF(ISERROR(VLOOKUP(A155,'4、平时成绩'!$A$2:$H$201,8,FALSE)),0,VLOOKUP(A155,'4、平时成绩'!$A$2:$H$201,8,FALSE)),0)</f>
        <v>0</v>
      </c>
    </row>
    <row r="156" s="32" customFormat="1" spans="1:94">
      <c r="A156" s="443"/>
      <c r="B156" s="443"/>
      <c r="C156" s="436"/>
      <c r="D156" s="436"/>
      <c r="E156" s="436"/>
      <c r="F156" s="436"/>
      <c r="G156" s="436"/>
      <c r="H156" s="436"/>
      <c r="I156" s="436"/>
      <c r="J156" s="436"/>
      <c r="K156" s="436"/>
      <c r="L156" s="436"/>
      <c r="M156" s="436"/>
      <c r="N156" s="436"/>
      <c r="O156" s="436"/>
      <c r="P156" s="436"/>
      <c r="Q156" s="436"/>
      <c r="R156" s="436"/>
      <c r="S156" s="436"/>
      <c r="T156" s="436"/>
      <c r="U156" s="436"/>
      <c r="V156" s="436"/>
      <c r="W156" s="436"/>
      <c r="X156" s="436"/>
      <c r="Y156" s="436"/>
      <c r="Z156" s="436"/>
      <c r="AA156" s="436"/>
      <c r="AB156" s="436"/>
      <c r="AC156" s="436"/>
      <c r="AD156" s="436"/>
      <c r="AE156" s="436"/>
      <c r="AF156" s="436"/>
      <c r="AG156" s="436"/>
      <c r="AH156" s="436"/>
      <c r="AI156" s="436"/>
      <c r="AJ156" s="436"/>
      <c r="AK156" s="436"/>
      <c r="AL156" s="436"/>
      <c r="AM156" s="436"/>
      <c r="AN156" s="436"/>
      <c r="AO156" s="436"/>
      <c r="AP156" s="436"/>
      <c r="AQ156" s="436"/>
      <c r="AR156" s="436"/>
      <c r="AS156" s="436"/>
      <c r="AT156" s="436"/>
      <c r="AU156" s="436"/>
      <c r="AV156" s="436"/>
      <c r="AW156" s="436"/>
      <c r="AX156" s="436"/>
      <c r="AY156" s="436"/>
      <c r="AZ156" s="436"/>
      <c r="BA156" s="436"/>
      <c r="BB156" s="436"/>
      <c r="BC156" s="436"/>
      <c r="BD156" s="436"/>
      <c r="BE156" s="436"/>
      <c r="BF156" s="436"/>
      <c r="BG156" s="436"/>
      <c r="BH156" s="436"/>
      <c r="BI156" s="436"/>
      <c r="BJ156" s="436"/>
      <c r="BK156" s="436"/>
      <c r="BL156" s="436"/>
      <c r="BM156" s="436"/>
      <c r="BN156" s="436"/>
      <c r="BO156" s="436"/>
      <c r="BP156" s="436"/>
      <c r="BQ156" s="436"/>
      <c r="BR156" s="436"/>
      <c r="BS156" s="436"/>
      <c r="BT156" s="436"/>
      <c r="BU156" s="436"/>
      <c r="BV156" s="436"/>
      <c r="BW156" s="436"/>
      <c r="BX156" s="436"/>
      <c r="BY156" s="436"/>
      <c r="BZ156" s="436"/>
      <c r="CA156" s="436"/>
      <c r="CB156" s="436"/>
      <c r="CC156" s="436"/>
      <c r="CD156" s="436"/>
      <c r="CE156" s="437">
        <f>SUM(IF(COLUMN($C156:$CD156)&lt;(3+'2、试卷（期末）'!$B$2),$C156:$CD156,))</f>
        <v>0</v>
      </c>
      <c r="CF156" s="437">
        <f>SUM(IF(COLUMN($C156:$CD156)&lt;(3+SUM('2、试卷（期末）'!$B$2:$B$3)),$C156:$CD156,))-$CE156</f>
        <v>0</v>
      </c>
      <c r="CG156" s="437">
        <f>SUM(IF(COLUMN($C156:$CD156)&lt;(3+SUM('2、试卷（期末）'!$B$2:$B$4)),$C156:$CD156,))-SUM($CE156:$CF156)</f>
        <v>0</v>
      </c>
      <c r="CH156" s="437">
        <f>SUM(IF(COLUMN($C156:$CD156)&lt;(3+SUM('2、试卷（期末）'!$B$2:$B$5)),$C156:$CD156,))-SUM($CE156:$CG156)</f>
        <v>0</v>
      </c>
      <c r="CI156" s="437">
        <f>SUM(IF(COLUMN($C156:$CD156)&lt;(3+SUM('2、试卷（期末）'!$B$2:$B$6)),$C156:$CD156,))-SUM($CE156:$CH156)</f>
        <v>0</v>
      </c>
      <c r="CJ156" s="437">
        <f>SUM(IF(COLUMN($C156:$CD156)&lt;(3+SUM('2、试卷（期末）'!$B$2:$B$7)),$C156:$CD156,))-SUM($CE156:$CI156)</f>
        <v>0</v>
      </c>
      <c r="CK156" s="437">
        <f>SUM(IF(COLUMN($C156:$CD156)&lt;(3+SUM('2、试卷（期末）'!$B$2:$B$8)),$C156:$CD156,))-SUM($CE156:$CJ156)</f>
        <v>0</v>
      </c>
      <c r="CL156" s="437">
        <f>SUM(IF(COLUMN($C156:$CD156)&lt;(3+SUM('2、试卷（期末）'!$B$2:$B$9)),$C156:$CD156,))-SUM($CE156:$CK156)</f>
        <v>0</v>
      </c>
      <c r="CM156" s="437">
        <f>SUM(IF(COLUMN($C156:$CD156)&lt;(3+SUM('2、试卷（期末）'!$B$2:$B$10)),$C156:$CD156,))-SUM($CE156:$CL156)</f>
        <v>0</v>
      </c>
      <c r="CN156" s="437">
        <f>SUM(IF(COLUMN($C156:$CD156)&lt;(3+SUM('2、试卷（期末）'!$B$2:$B$11)),$C156:$CD156,))-SUM($CE156:$CM156)</f>
        <v>0</v>
      </c>
      <c r="CO156" s="437">
        <f t="shared" si="4"/>
        <v>0</v>
      </c>
      <c r="CP156" s="438">
        <f ca="1">ROUND(CO156*'1、课程目标与考核方式'!$H$13/100+IF(ISERROR(VLOOKUP(A156,'4、平时成绩'!$A$2:$H$201,8,FALSE)),0,VLOOKUP(A156,'4、平时成绩'!$A$2:$H$201,8,FALSE)),0)</f>
        <v>0</v>
      </c>
    </row>
    <row r="157" s="32" customFormat="1" spans="1:94">
      <c r="A157" s="443"/>
      <c r="B157" s="443"/>
      <c r="C157" s="436"/>
      <c r="D157" s="436"/>
      <c r="E157" s="436"/>
      <c r="F157" s="436"/>
      <c r="G157" s="436"/>
      <c r="H157" s="436"/>
      <c r="I157" s="436"/>
      <c r="J157" s="436"/>
      <c r="K157" s="436"/>
      <c r="L157" s="436"/>
      <c r="M157" s="436"/>
      <c r="N157" s="436"/>
      <c r="O157" s="436"/>
      <c r="P157" s="436"/>
      <c r="Q157" s="436"/>
      <c r="R157" s="436"/>
      <c r="S157" s="436"/>
      <c r="T157" s="436"/>
      <c r="U157" s="436"/>
      <c r="V157" s="436"/>
      <c r="W157" s="436"/>
      <c r="X157" s="436"/>
      <c r="Y157" s="436"/>
      <c r="Z157" s="436"/>
      <c r="AA157" s="436"/>
      <c r="AB157" s="436"/>
      <c r="AC157" s="436"/>
      <c r="AD157" s="436"/>
      <c r="AE157" s="436"/>
      <c r="AF157" s="436"/>
      <c r="AG157" s="436"/>
      <c r="AH157" s="436"/>
      <c r="AI157" s="436"/>
      <c r="AJ157" s="436"/>
      <c r="AK157" s="436"/>
      <c r="AL157" s="436"/>
      <c r="AM157" s="436"/>
      <c r="AN157" s="436"/>
      <c r="AO157" s="436"/>
      <c r="AP157" s="436"/>
      <c r="AQ157" s="436"/>
      <c r="AR157" s="436"/>
      <c r="AS157" s="436"/>
      <c r="AT157" s="436"/>
      <c r="AU157" s="436"/>
      <c r="AV157" s="436"/>
      <c r="AW157" s="436"/>
      <c r="AX157" s="436"/>
      <c r="AY157" s="436"/>
      <c r="AZ157" s="436"/>
      <c r="BA157" s="436"/>
      <c r="BB157" s="436"/>
      <c r="BC157" s="436"/>
      <c r="BD157" s="436"/>
      <c r="BE157" s="436"/>
      <c r="BF157" s="436"/>
      <c r="BG157" s="436"/>
      <c r="BH157" s="436"/>
      <c r="BI157" s="436"/>
      <c r="BJ157" s="436"/>
      <c r="BK157" s="436"/>
      <c r="BL157" s="436"/>
      <c r="BM157" s="436"/>
      <c r="BN157" s="436"/>
      <c r="BO157" s="436"/>
      <c r="BP157" s="436"/>
      <c r="BQ157" s="436"/>
      <c r="BR157" s="436"/>
      <c r="BS157" s="436"/>
      <c r="BT157" s="436"/>
      <c r="BU157" s="436"/>
      <c r="BV157" s="436"/>
      <c r="BW157" s="436"/>
      <c r="BX157" s="436"/>
      <c r="BY157" s="436"/>
      <c r="BZ157" s="436"/>
      <c r="CA157" s="436"/>
      <c r="CB157" s="436"/>
      <c r="CC157" s="436"/>
      <c r="CD157" s="436"/>
      <c r="CE157" s="437">
        <f>SUM(IF(COLUMN($C157:$CD157)&lt;(3+'2、试卷（期末）'!$B$2),$C157:$CD157,))</f>
        <v>0</v>
      </c>
      <c r="CF157" s="437">
        <f>SUM(IF(COLUMN($C157:$CD157)&lt;(3+SUM('2、试卷（期末）'!$B$2:$B$3)),$C157:$CD157,))-$CE157</f>
        <v>0</v>
      </c>
      <c r="CG157" s="437">
        <f>SUM(IF(COLUMN($C157:$CD157)&lt;(3+SUM('2、试卷（期末）'!$B$2:$B$4)),$C157:$CD157,))-SUM($CE157:$CF157)</f>
        <v>0</v>
      </c>
      <c r="CH157" s="437">
        <f>SUM(IF(COLUMN($C157:$CD157)&lt;(3+SUM('2、试卷（期末）'!$B$2:$B$5)),$C157:$CD157,))-SUM($CE157:$CG157)</f>
        <v>0</v>
      </c>
      <c r="CI157" s="437">
        <f>SUM(IF(COLUMN($C157:$CD157)&lt;(3+SUM('2、试卷（期末）'!$B$2:$B$6)),$C157:$CD157,))-SUM($CE157:$CH157)</f>
        <v>0</v>
      </c>
      <c r="CJ157" s="437">
        <f>SUM(IF(COLUMN($C157:$CD157)&lt;(3+SUM('2、试卷（期末）'!$B$2:$B$7)),$C157:$CD157,))-SUM($CE157:$CI157)</f>
        <v>0</v>
      </c>
      <c r="CK157" s="437">
        <f>SUM(IF(COLUMN($C157:$CD157)&lt;(3+SUM('2、试卷（期末）'!$B$2:$B$8)),$C157:$CD157,))-SUM($CE157:$CJ157)</f>
        <v>0</v>
      </c>
      <c r="CL157" s="437">
        <f>SUM(IF(COLUMN($C157:$CD157)&lt;(3+SUM('2、试卷（期末）'!$B$2:$B$9)),$C157:$CD157,))-SUM($CE157:$CK157)</f>
        <v>0</v>
      </c>
      <c r="CM157" s="437">
        <f>SUM(IF(COLUMN($C157:$CD157)&lt;(3+SUM('2、试卷（期末）'!$B$2:$B$10)),$C157:$CD157,))-SUM($CE157:$CL157)</f>
        <v>0</v>
      </c>
      <c r="CN157" s="437">
        <f>SUM(IF(COLUMN($C157:$CD157)&lt;(3+SUM('2、试卷（期末）'!$B$2:$B$11)),$C157:$CD157,))-SUM($CE157:$CM157)</f>
        <v>0</v>
      </c>
      <c r="CO157" s="437">
        <f t="shared" si="4"/>
        <v>0</v>
      </c>
      <c r="CP157" s="438">
        <f ca="1">ROUND(CO157*'1、课程目标与考核方式'!$H$13/100+IF(ISERROR(VLOOKUP(A157,'4、平时成绩'!$A$2:$H$201,8,FALSE)),0,VLOOKUP(A157,'4、平时成绩'!$A$2:$H$201,8,FALSE)),0)</f>
        <v>0</v>
      </c>
    </row>
    <row r="158" s="32" customFormat="1" spans="1:94">
      <c r="A158" s="443"/>
      <c r="B158" s="443"/>
      <c r="C158" s="436"/>
      <c r="D158" s="436"/>
      <c r="E158" s="436"/>
      <c r="F158" s="436"/>
      <c r="G158" s="436"/>
      <c r="H158" s="436"/>
      <c r="I158" s="436"/>
      <c r="J158" s="436"/>
      <c r="K158" s="436"/>
      <c r="L158" s="436"/>
      <c r="M158" s="436"/>
      <c r="N158" s="436"/>
      <c r="O158" s="436"/>
      <c r="P158" s="436"/>
      <c r="Q158" s="436"/>
      <c r="R158" s="436"/>
      <c r="S158" s="436"/>
      <c r="T158" s="436"/>
      <c r="U158" s="436"/>
      <c r="V158" s="436"/>
      <c r="W158" s="436"/>
      <c r="X158" s="436"/>
      <c r="Y158" s="436"/>
      <c r="Z158" s="436"/>
      <c r="AA158" s="436"/>
      <c r="AB158" s="436"/>
      <c r="AC158" s="436"/>
      <c r="AD158" s="436"/>
      <c r="AE158" s="436"/>
      <c r="AF158" s="436"/>
      <c r="AG158" s="436"/>
      <c r="AH158" s="436"/>
      <c r="AI158" s="436"/>
      <c r="AJ158" s="436"/>
      <c r="AK158" s="436"/>
      <c r="AL158" s="436"/>
      <c r="AM158" s="436"/>
      <c r="AN158" s="436"/>
      <c r="AO158" s="436"/>
      <c r="AP158" s="436"/>
      <c r="AQ158" s="436"/>
      <c r="AR158" s="436"/>
      <c r="AS158" s="436"/>
      <c r="AT158" s="436"/>
      <c r="AU158" s="436"/>
      <c r="AV158" s="436"/>
      <c r="AW158" s="436"/>
      <c r="AX158" s="436"/>
      <c r="AY158" s="436"/>
      <c r="AZ158" s="436"/>
      <c r="BA158" s="436"/>
      <c r="BB158" s="436"/>
      <c r="BC158" s="436"/>
      <c r="BD158" s="436"/>
      <c r="BE158" s="436"/>
      <c r="BF158" s="436"/>
      <c r="BG158" s="436"/>
      <c r="BH158" s="436"/>
      <c r="BI158" s="436"/>
      <c r="BJ158" s="436"/>
      <c r="BK158" s="436"/>
      <c r="BL158" s="436"/>
      <c r="BM158" s="436"/>
      <c r="BN158" s="436"/>
      <c r="BO158" s="436"/>
      <c r="BP158" s="436"/>
      <c r="BQ158" s="436"/>
      <c r="BR158" s="436"/>
      <c r="BS158" s="436"/>
      <c r="BT158" s="436"/>
      <c r="BU158" s="436"/>
      <c r="BV158" s="436"/>
      <c r="BW158" s="436"/>
      <c r="BX158" s="436"/>
      <c r="BY158" s="436"/>
      <c r="BZ158" s="436"/>
      <c r="CA158" s="436"/>
      <c r="CB158" s="436"/>
      <c r="CC158" s="436"/>
      <c r="CD158" s="436"/>
      <c r="CE158" s="437">
        <f>SUM(IF(COLUMN($C158:$CD158)&lt;(3+'2、试卷（期末）'!$B$2),$C158:$CD158,))</f>
        <v>0</v>
      </c>
      <c r="CF158" s="437">
        <f>SUM(IF(COLUMN($C158:$CD158)&lt;(3+SUM('2、试卷（期末）'!$B$2:$B$3)),$C158:$CD158,))-$CE158</f>
        <v>0</v>
      </c>
      <c r="CG158" s="437">
        <f>SUM(IF(COLUMN($C158:$CD158)&lt;(3+SUM('2、试卷（期末）'!$B$2:$B$4)),$C158:$CD158,))-SUM($CE158:$CF158)</f>
        <v>0</v>
      </c>
      <c r="CH158" s="437">
        <f>SUM(IF(COLUMN($C158:$CD158)&lt;(3+SUM('2、试卷（期末）'!$B$2:$B$5)),$C158:$CD158,))-SUM($CE158:$CG158)</f>
        <v>0</v>
      </c>
      <c r="CI158" s="437">
        <f>SUM(IF(COLUMN($C158:$CD158)&lt;(3+SUM('2、试卷（期末）'!$B$2:$B$6)),$C158:$CD158,))-SUM($CE158:$CH158)</f>
        <v>0</v>
      </c>
      <c r="CJ158" s="437">
        <f>SUM(IF(COLUMN($C158:$CD158)&lt;(3+SUM('2、试卷（期末）'!$B$2:$B$7)),$C158:$CD158,))-SUM($CE158:$CI158)</f>
        <v>0</v>
      </c>
      <c r="CK158" s="437">
        <f>SUM(IF(COLUMN($C158:$CD158)&lt;(3+SUM('2、试卷（期末）'!$B$2:$B$8)),$C158:$CD158,))-SUM($CE158:$CJ158)</f>
        <v>0</v>
      </c>
      <c r="CL158" s="437">
        <f>SUM(IF(COLUMN($C158:$CD158)&lt;(3+SUM('2、试卷（期末）'!$B$2:$B$9)),$C158:$CD158,))-SUM($CE158:$CK158)</f>
        <v>0</v>
      </c>
      <c r="CM158" s="437">
        <f>SUM(IF(COLUMN($C158:$CD158)&lt;(3+SUM('2、试卷（期末）'!$B$2:$B$10)),$C158:$CD158,))-SUM($CE158:$CL158)</f>
        <v>0</v>
      </c>
      <c r="CN158" s="437">
        <f>SUM(IF(COLUMN($C158:$CD158)&lt;(3+SUM('2、试卷（期末）'!$B$2:$B$11)),$C158:$CD158,))-SUM($CE158:$CM158)</f>
        <v>0</v>
      </c>
      <c r="CO158" s="437">
        <f t="shared" si="4"/>
        <v>0</v>
      </c>
      <c r="CP158" s="438">
        <f ca="1">ROUND(CO158*'1、课程目标与考核方式'!$H$13/100+IF(ISERROR(VLOOKUP(A158,'4、平时成绩'!$A$2:$H$201,8,FALSE)),0,VLOOKUP(A158,'4、平时成绩'!$A$2:$H$201,8,FALSE)),0)</f>
        <v>0</v>
      </c>
    </row>
    <row r="159" s="32" customFormat="1" spans="1:94">
      <c r="A159" s="443"/>
      <c r="B159" s="443"/>
      <c r="C159" s="436"/>
      <c r="D159" s="436"/>
      <c r="E159" s="436"/>
      <c r="F159" s="436"/>
      <c r="G159" s="436"/>
      <c r="H159" s="436"/>
      <c r="I159" s="436"/>
      <c r="J159" s="436"/>
      <c r="K159" s="436"/>
      <c r="L159" s="436"/>
      <c r="M159" s="436"/>
      <c r="N159" s="436"/>
      <c r="O159" s="436"/>
      <c r="P159" s="436"/>
      <c r="Q159" s="436"/>
      <c r="R159" s="436"/>
      <c r="S159" s="436"/>
      <c r="T159" s="436"/>
      <c r="U159" s="436"/>
      <c r="V159" s="436"/>
      <c r="W159" s="436"/>
      <c r="X159" s="436"/>
      <c r="Y159" s="436"/>
      <c r="Z159" s="436"/>
      <c r="AA159" s="436"/>
      <c r="AB159" s="436"/>
      <c r="AC159" s="436"/>
      <c r="AD159" s="436"/>
      <c r="AE159" s="436"/>
      <c r="AF159" s="436"/>
      <c r="AG159" s="436"/>
      <c r="AH159" s="436"/>
      <c r="AI159" s="436"/>
      <c r="AJ159" s="436"/>
      <c r="AK159" s="436"/>
      <c r="AL159" s="436"/>
      <c r="AM159" s="436"/>
      <c r="AN159" s="436"/>
      <c r="AO159" s="436"/>
      <c r="AP159" s="436"/>
      <c r="AQ159" s="436"/>
      <c r="AR159" s="436"/>
      <c r="AS159" s="436"/>
      <c r="AT159" s="436"/>
      <c r="AU159" s="436"/>
      <c r="AV159" s="436"/>
      <c r="AW159" s="436"/>
      <c r="AX159" s="436"/>
      <c r="AY159" s="436"/>
      <c r="AZ159" s="436"/>
      <c r="BA159" s="436"/>
      <c r="BB159" s="436"/>
      <c r="BC159" s="436"/>
      <c r="BD159" s="436"/>
      <c r="BE159" s="436"/>
      <c r="BF159" s="436"/>
      <c r="BG159" s="436"/>
      <c r="BH159" s="436"/>
      <c r="BI159" s="436"/>
      <c r="BJ159" s="436"/>
      <c r="BK159" s="436"/>
      <c r="BL159" s="436"/>
      <c r="BM159" s="436"/>
      <c r="BN159" s="436"/>
      <c r="BO159" s="436"/>
      <c r="BP159" s="436"/>
      <c r="BQ159" s="436"/>
      <c r="BR159" s="436"/>
      <c r="BS159" s="436"/>
      <c r="BT159" s="436"/>
      <c r="BU159" s="436"/>
      <c r="BV159" s="436"/>
      <c r="BW159" s="436"/>
      <c r="BX159" s="436"/>
      <c r="BY159" s="436"/>
      <c r="BZ159" s="436"/>
      <c r="CA159" s="436"/>
      <c r="CB159" s="436"/>
      <c r="CC159" s="436"/>
      <c r="CD159" s="436"/>
      <c r="CE159" s="437">
        <f>SUM(IF(COLUMN($C159:$CD159)&lt;(3+'2、试卷（期末）'!$B$2),$C159:$CD159,))</f>
        <v>0</v>
      </c>
      <c r="CF159" s="437">
        <f>SUM(IF(COLUMN($C159:$CD159)&lt;(3+SUM('2、试卷（期末）'!$B$2:$B$3)),$C159:$CD159,))-$CE159</f>
        <v>0</v>
      </c>
      <c r="CG159" s="437">
        <f>SUM(IF(COLUMN($C159:$CD159)&lt;(3+SUM('2、试卷（期末）'!$B$2:$B$4)),$C159:$CD159,))-SUM($CE159:$CF159)</f>
        <v>0</v>
      </c>
      <c r="CH159" s="437">
        <f>SUM(IF(COLUMN($C159:$CD159)&lt;(3+SUM('2、试卷（期末）'!$B$2:$B$5)),$C159:$CD159,))-SUM($CE159:$CG159)</f>
        <v>0</v>
      </c>
      <c r="CI159" s="437">
        <f>SUM(IF(COLUMN($C159:$CD159)&lt;(3+SUM('2、试卷（期末）'!$B$2:$B$6)),$C159:$CD159,))-SUM($CE159:$CH159)</f>
        <v>0</v>
      </c>
      <c r="CJ159" s="437">
        <f>SUM(IF(COLUMN($C159:$CD159)&lt;(3+SUM('2、试卷（期末）'!$B$2:$B$7)),$C159:$CD159,))-SUM($CE159:$CI159)</f>
        <v>0</v>
      </c>
      <c r="CK159" s="437">
        <f>SUM(IF(COLUMN($C159:$CD159)&lt;(3+SUM('2、试卷（期末）'!$B$2:$B$8)),$C159:$CD159,))-SUM($CE159:$CJ159)</f>
        <v>0</v>
      </c>
      <c r="CL159" s="437">
        <f>SUM(IF(COLUMN($C159:$CD159)&lt;(3+SUM('2、试卷（期末）'!$B$2:$B$9)),$C159:$CD159,))-SUM($CE159:$CK159)</f>
        <v>0</v>
      </c>
      <c r="CM159" s="437">
        <f>SUM(IF(COLUMN($C159:$CD159)&lt;(3+SUM('2、试卷（期末）'!$B$2:$B$10)),$C159:$CD159,))-SUM($CE159:$CL159)</f>
        <v>0</v>
      </c>
      <c r="CN159" s="437">
        <f>SUM(IF(COLUMN($C159:$CD159)&lt;(3+SUM('2、试卷（期末）'!$B$2:$B$11)),$C159:$CD159,))-SUM($CE159:$CM159)</f>
        <v>0</v>
      </c>
      <c r="CO159" s="437">
        <f t="shared" si="4"/>
        <v>0</v>
      </c>
      <c r="CP159" s="438">
        <f ca="1">ROUND(CO159*'1、课程目标与考核方式'!$H$13/100+IF(ISERROR(VLOOKUP(A159,'4、平时成绩'!$A$2:$H$201,8,FALSE)),0,VLOOKUP(A159,'4、平时成绩'!$A$2:$H$201,8,FALSE)),0)</f>
        <v>0</v>
      </c>
    </row>
    <row r="160" s="32" customFormat="1" spans="1:94">
      <c r="A160" s="443"/>
      <c r="B160" s="443"/>
      <c r="C160" s="436"/>
      <c r="D160" s="436"/>
      <c r="E160" s="436"/>
      <c r="F160" s="436"/>
      <c r="G160" s="436"/>
      <c r="H160" s="436"/>
      <c r="I160" s="436"/>
      <c r="J160" s="436"/>
      <c r="K160" s="436"/>
      <c r="L160" s="436"/>
      <c r="M160" s="436"/>
      <c r="N160" s="436"/>
      <c r="O160" s="436"/>
      <c r="P160" s="436"/>
      <c r="Q160" s="436"/>
      <c r="R160" s="436"/>
      <c r="S160" s="436"/>
      <c r="T160" s="436"/>
      <c r="U160" s="436"/>
      <c r="V160" s="436"/>
      <c r="W160" s="436"/>
      <c r="X160" s="436"/>
      <c r="Y160" s="436"/>
      <c r="Z160" s="436"/>
      <c r="AA160" s="436"/>
      <c r="AB160" s="436"/>
      <c r="AC160" s="436"/>
      <c r="AD160" s="436"/>
      <c r="AE160" s="436"/>
      <c r="AF160" s="436"/>
      <c r="AG160" s="436"/>
      <c r="AH160" s="436"/>
      <c r="AI160" s="436"/>
      <c r="AJ160" s="436"/>
      <c r="AK160" s="436"/>
      <c r="AL160" s="436"/>
      <c r="AM160" s="436"/>
      <c r="AN160" s="436"/>
      <c r="AO160" s="436"/>
      <c r="AP160" s="436"/>
      <c r="AQ160" s="436"/>
      <c r="AR160" s="436"/>
      <c r="AS160" s="436"/>
      <c r="AT160" s="436"/>
      <c r="AU160" s="436"/>
      <c r="AV160" s="436"/>
      <c r="AW160" s="436"/>
      <c r="AX160" s="436"/>
      <c r="AY160" s="436"/>
      <c r="AZ160" s="436"/>
      <c r="BA160" s="436"/>
      <c r="BB160" s="436"/>
      <c r="BC160" s="436"/>
      <c r="BD160" s="436"/>
      <c r="BE160" s="436"/>
      <c r="BF160" s="436"/>
      <c r="BG160" s="436"/>
      <c r="BH160" s="436"/>
      <c r="BI160" s="436"/>
      <c r="BJ160" s="436"/>
      <c r="BK160" s="436"/>
      <c r="BL160" s="436"/>
      <c r="BM160" s="436"/>
      <c r="BN160" s="436"/>
      <c r="BO160" s="436"/>
      <c r="BP160" s="436"/>
      <c r="BQ160" s="436"/>
      <c r="BR160" s="436"/>
      <c r="BS160" s="436"/>
      <c r="BT160" s="436"/>
      <c r="BU160" s="436"/>
      <c r="BV160" s="436"/>
      <c r="BW160" s="436"/>
      <c r="BX160" s="436"/>
      <c r="BY160" s="436"/>
      <c r="BZ160" s="436"/>
      <c r="CA160" s="436"/>
      <c r="CB160" s="436"/>
      <c r="CC160" s="436"/>
      <c r="CD160" s="436"/>
      <c r="CE160" s="437">
        <f>SUM(IF(COLUMN($C160:$CD160)&lt;(3+'2、试卷（期末）'!$B$2),$C160:$CD160,))</f>
        <v>0</v>
      </c>
      <c r="CF160" s="437">
        <f>SUM(IF(COLUMN($C160:$CD160)&lt;(3+SUM('2、试卷（期末）'!$B$2:$B$3)),$C160:$CD160,))-$CE160</f>
        <v>0</v>
      </c>
      <c r="CG160" s="437">
        <f>SUM(IF(COLUMN($C160:$CD160)&lt;(3+SUM('2、试卷（期末）'!$B$2:$B$4)),$C160:$CD160,))-SUM($CE160:$CF160)</f>
        <v>0</v>
      </c>
      <c r="CH160" s="437">
        <f>SUM(IF(COLUMN($C160:$CD160)&lt;(3+SUM('2、试卷（期末）'!$B$2:$B$5)),$C160:$CD160,))-SUM($CE160:$CG160)</f>
        <v>0</v>
      </c>
      <c r="CI160" s="437">
        <f>SUM(IF(COLUMN($C160:$CD160)&lt;(3+SUM('2、试卷（期末）'!$B$2:$B$6)),$C160:$CD160,))-SUM($CE160:$CH160)</f>
        <v>0</v>
      </c>
      <c r="CJ160" s="437">
        <f>SUM(IF(COLUMN($C160:$CD160)&lt;(3+SUM('2、试卷（期末）'!$B$2:$B$7)),$C160:$CD160,))-SUM($CE160:$CI160)</f>
        <v>0</v>
      </c>
      <c r="CK160" s="437">
        <f>SUM(IF(COLUMN($C160:$CD160)&lt;(3+SUM('2、试卷（期末）'!$B$2:$B$8)),$C160:$CD160,))-SUM($CE160:$CJ160)</f>
        <v>0</v>
      </c>
      <c r="CL160" s="437">
        <f>SUM(IF(COLUMN($C160:$CD160)&lt;(3+SUM('2、试卷（期末）'!$B$2:$B$9)),$C160:$CD160,))-SUM($CE160:$CK160)</f>
        <v>0</v>
      </c>
      <c r="CM160" s="437">
        <f>SUM(IF(COLUMN($C160:$CD160)&lt;(3+SUM('2、试卷（期末）'!$B$2:$B$10)),$C160:$CD160,))-SUM($CE160:$CL160)</f>
        <v>0</v>
      </c>
      <c r="CN160" s="437">
        <f>SUM(IF(COLUMN($C160:$CD160)&lt;(3+SUM('2、试卷（期末）'!$B$2:$B$11)),$C160:$CD160,))-SUM($CE160:$CM160)</f>
        <v>0</v>
      </c>
      <c r="CO160" s="437">
        <f t="shared" si="4"/>
        <v>0</v>
      </c>
      <c r="CP160" s="438">
        <f ca="1">ROUND(CO160*'1、课程目标与考核方式'!$H$13/100+IF(ISERROR(VLOOKUP(A160,'4、平时成绩'!$A$2:$H$201,8,FALSE)),0,VLOOKUP(A160,'4、平时成绩'!$A$2:$H$201,8,FALSE)),0)</f>
        <v>0</v>
      </c>
    </row>
    <row r="161" s="32" customFormat="1" spans="1:94">
      <c r="A161" s="443"/>
      <c r="B161" s="443"/>
      <c r="C161" s="436"/>
      <c r="D161" s="436"/>
      <c r="E161" s="436"/>
      <c r="F161" s="436"/>
      <c r="G161" s="436"/>
      <c r="H161" s="436"/>
      <c r="I161" s="436"/>
      <c r="J161" s="436"/>
      <c r="K161" s="436"/>
      <c r="L161" s="436"/>
      <c r="M161" s="436"/>
      <c r="N161" s="436"/>
      <c r="O161" s="436"/>
      <c r="P161" s="436"/>
      <c r="Q161" s="436"/>
      <c r="R161" s="436"/>
      <c r="S161" s="436"/>
      <c r="T161" s="436"/>
      <c r="U161" s="436"/>
      <c r="V161" s="436"/>
      <c r="W161" s="436"/>
      <c r="X161" s="436"/>
      <c r="Y161" s="436"/>
      <c r="Z161" s="436"/>
      <c r="AA161" s="436"/>
      <c r="AB161" s="436"/>
      <c r="AC161" s="436"/>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6"/>
      <c r="AY161" s="436"/>
      <c r="AZ161" s="436"/>
      <c r="BA161" s="436"/>
      <c r="BB161" s="436"/>
      <c r="BC161" s="436"/>
      <c r="BD161" s="436"/>
      <c r="BE161" s="436"/>
      <c r="BF161" s="436"/>
      <c r="BG161" s="436"/>
      <c r="BH161" s="436"/>
      <c r="BI161" s="436"/>
      <c r="BJ161" s="436"/>
      <c r="BK161" s="436"/>
      <c r="BL161" s="436"/>
      <c r="BM161" s="436"/>
      <c r="BN161" s="436"/>
      <c r="BO161" s="436"/>
      <c r="BP161" s="436"/>
      <c r="BQ161" s="436"/>
      <c r="BR161" s="436"/>
      <c r="BS161" s="436"/>
      <c r="BT161" s="436"/>
      <c r="BU161" s="436"/>
      <c r="BV161" s="436"/>
      <c r="BW161" s="436"/>
      <c r="BX161" s="436"/>
      <c r="BY161" s="436"/>
      <c r="BZ161" s="436"/>
      <c r="CA161" s="436"/>
      <c r="CB161" s="436"/>
      <c r="CC161" s="436"/>
      <c r="CD161" s="436"/>
      <c r="CE161" s="437">
        <f>SUM(IF(COLUMN($C161:$CD161)&lt;(3+'2、试卷（期末）'!$B$2),$C161:$CD161,))</f>
        <v>0</v>
      </c>
      <c r="CF161" s="437">
        <f>SUM(IF(COLUMN($C161:$CD161)&lt;(3+SUM('2、试卷（期末）'!$B$2:$B$3)),$C161:$CD161,))-$CE161</f>
        <v>0</v>
      </c>
      <c r="CG161" s="437">
        <f>SUM(IF(COLUMN($C161:$CD161)&lt;(3+SUM('2、试卷（期末）'!$B$2:$B$4)),$C161:$CD161,))-SUM($CE161:$CF161)</f>
        <v>0</v>
      </c>
      <c r="CH161" s="437">
        <f>SUM(IF(COLUMN($C161:$CD161)&lt;(3+SUM('2、试卷（期末）'!$B$2:$B$5)),$C161:$CD161,))-SUM($CE161:$CG161)</f>
        <v>0</v>
      </c>
      <c r="CI161" s="437">
        <f>SUM(IF(COLUMN($C161:$CD161)&lt;(3+SUM('2、试卷（期末）'!$B$2:$B$6)),$C161:$CD161,))-SUM($CE161:$CH161)</f>
        <v>0</v>
      </c>
      <c r="CJ161" s="437">
        <f>SUM(IF(COLUMN($C161:$CD161)&lt;(3+SUM('2、试卷（期末）'!$B$2:$B$7)),$C161:$CD161,))-SUM($CE161:$CI161)</f>
        <v>0</v>
      </c>
      <c r="CK161" s="437">
        <f>SUM(IF(COLUMN($C161:$CD161)&lt;(3+SUM('2、试卷（期末）'!$B$2:$B$8)),$C161:$CD161,))-SUM($CE161:$CJ161)</f>
        <v>0</v>
      </c>
      <c r="CL161" s="437">
        <f>SUM(IF(COLUMN($C161:$CD161)&lt;(3+SUM('2、试卷（期末）'!$B$2:$B$9)),$C161:$CD161,))-SUM($CE161:$CK161)</f>
        <v>0</v>
      </c>
      <c r="CM161" s="437">
        <f>SUM(IF(COLUMN($C161:$CD161)&lt;(3+SUM('2、试卷（期末）'!$B$2:$B$10)),$C161:$CD161,))-SUM($CE161:$CL161)</f>
        <v>0</v>
      </c>
      <c r="CN161" s="437">
        <f>SUM(IF(COLUMN($C161:$CD161)&lt;(3+SUM('2、试卷（期末）'!$B$2:$B$11)),$C161:$CD161,))-SUM($CE161:$CM161)</f>
        <v>0</v>
      </c>
      <c r="CO161" s="437">
        <f t="shared" si="4"/>
        <v>0</v>
      </c>
      <c r="CP161" s="438">
        <f ca="1">ROUND(CO161*'1、课程目标与考核方式'!$H$13/100+IF(ISERROR(VLOOKUP(A161,'4、平时成绩'!$A$2:$H$201,8,FALSE)),0,VLOOKUP(A161,'4、平时成绩'!$A$2:$H$201,8,FALSE)),0)</f>
        <v>0</v>
      </c>
    </row>
    <row r="162" s="32" customFormat="1" spans="1:94">
      <c r="A162" s="443"/>
      <c r="B162" s="443"/>
      <c r="C162" s="436"/>
      <c r="D162" s="436"/>
      <c r="E162" s="436"/>
      <c r="F162" s="436"/>
      <c r="G162" s="436"/>
      <c r="H162" s="436"/>
      <c r="I162" s="436"/>
      <c r="J162" s="436"/>
      <c r="K162" s="436"/>
      <c r="L162" s="436"/>
      <c r="M162" s="436"/>
      <c r="N162" s="436"/>
      <c r="O162" s="436"/>
      <c r="P162" s="436"/>
      <c r="Q162" s="436"/>
      <c r="R162" s="436"/>
      <c r="S162" s="436"/>
      <c r="T162" s="436"/>
      <c r="U162" s="436"/>
      <c r="V162" s="436"/>
      <c r="W162" s="436"/>
      <c r="X162" s="436"/>
      <c r="Y162" s="436"/>
      <c r="Z162" s="436"/>
      <c r="AA162" s="436"/>
      <c r="AB162" s="436"/>
      <c r="AC162" s="436"/>
      <c r="AD162" s="436"/>
      <c r="AE162" s="436"/>
      <c r="AF162" s="436"/>
      <c r="AG162" s="436"/>
      <c r="AH162" s="436"/>
      <c r="AI162" s="436"/>
      <c r="AJ162" s="436"/>
      <c r="AK162" s="436"/>
      <c r="AL162" s="436"/>
      <c r="AM162" s="436"/>
      <c r="AN162" s="436"/>
      <c r="AO162" s="436"/>
      <c r="AP162" s="436"/>
      <c r="AQ162" s="436"/>
      <c r="AR162" s="436"/>
      <c r="AS162" s="436"/>
      <c r="AT162" s="436"/>
      <c r="AU162" s="436"/>
      <c r="AV162" s="436"/>
      <c r="AW162" s="436"/>
      <c r="AX162" s="436"/>
      <c r="AY162" s="436"/>
      <c r="AZ162" s="436"/>
      <c r="BA162" s="436"/>
      <c r="BB162" s="436"/>
      <c r="BC162" s="436"/>
      <c r="BD162" s="436"/>
      <c r="BE162" s="436"/>
      <c r="BF162" s="436"/>
      <c r="BG162" s="436"/>
      <c r="BH162" s="436"/>
      <c r="BI162" s="436"/>
      <c r="BJ162" s="436"/>
      <c r="BK162" s="436"/>
      <c r="BL162" s="436"/>
      <c r="BM162" s="436"/>
      <c r="BN162" s="436"/>
      <c r="BO162" s="436"/>
      <c r="BP162" s="436"/>
      <c r="BQ162" s="436"/>
      <c r="BR162" s="436"/>
      <c r="BS162" s="436"/>
      <c r="BT162" s="436"/>
      <c r="BU162" s="436"/>
      <c r="BV162" s="436"/>
      <c r="BW162" s="436"/>
      <c r="BX162" s="436"/>
      <c r="BY162" s="436"/>
      <c r="BZ162" s="436"/>
      <c r="CA162" s="436"/>
      <c r="CB162" s="436"/>
      <c r="CC162" s="436"/>
      <c r="CD162" s="436"/>
      <c r="CE162" s="437">
        <f>SUM(IF(COLUMN($C162:$CD162)&lt;(3+'2、试卷（期末）'!$B$2),$C162:$CD162,))</f>
        <v>0</v>
      </c>
      <c r="CF162" s="437">
        <f>SUM(IF(COLUMN($C162:$CD162)&lt;(3+SUM('2、试卷（期末）'!$B$2:$B$3)),$C162:$CD162,))-$CE162</f>
        <v>0</v>
      </c>
      <c r="CG162" s="437">
        <f>SUM(IF(COLUMN($C162:$CD162)&lt;(3+SUM('2、试卷（期末）'!$B$2:$B$4)),$C162:$CD162,))-SUM($CE162:$CF162)</f>
        <v>0</v>
      </c>
      <c r="CH162" s="437">
        <f>SUM(IF(COLUMN($C162:$CD162)&lt;(3+SUM('2、试卷（期末）'!$B$2:$B$5)),$C162:$CD162,))-SUM($CE162:$CG162)</f>
        <v>0</v>
      </c>
      <c r="CI162" s="437">
        <f>SUM(IF(COLUMN($C162:$CD162)&lt;(3+SUM('2、试卷（期末）'!$B$2:$B$6)),$C162:$CD162,))-SUM($CE162:$CH162)</f>
        <v>0</v>
      </c>
      <c r="CJ162" s="437">
        <f>SUM(IF(COLUMN($C162:$CD162)&lt;(3+SUM('2、试卷（期末）'!$B$2:$B$7)),$C162:$CD162,))-SUM($CE162:$CI162)</f>
        <v>0</v>
      </c>
      <c r="CK162" s="437">
        <f>SUM(IF(COLUMN($C162:$CD162)&lt;(3+SUM('2、试卷（期末）'!$B$2:$B$8)),$C162:$CD162,))-SUM($CE162:$CJ162)</f>
        <v>0</v>
      </c>
      <c r="CL162" s="437">
        <f>SUM(IF(COLUMN($C162:$CD162)&lt;(3+SUM('2、试卷（期末）'!$B$2:$B$9)),$C162:$CD162,))-SUM($CE162:$CK162)</f>
        <v>0</v>
      </c>
      <c r="CM162" s="437">
        <f>SUM(IF(COLUMN($C162:$CD162)&lt;(3+SUM('2、试卷（期末）'!$B$2:$B$10)),$C162:$CD162,))-SUM($CE162:$CL162)</f>
        <v>0</v>
      </c>
      <c r="CN162" s="437">
        <f>SUM(IF(COLUMN($C162:$CD162)&lt;(3+SUM('2、试卷（期末）'!$B$2:$B$11)),$C162:$CD162,))-SUM($CE162:$CM162)</f>
        <v>0</v>
      </c>
      <c r="CO162" s="437">
        <f t="shared" si="4"/>
        <v>0</v>
      </c>
      <c r="CP162" s="438">
        <f ca="1">ROUND(CO162*'1、课程目标与考核方式'!$H$13/100+IF(ISERROR(VLOOKUP(A162,'4、平时成绩'!$A$2:$H$201,8,FALSE)),0,VLOOKUP(A162,'4、平时成绩'!$A$2:$H$201,8,FALSE)),0)</f>
        <v>0</v>
      </c>
    </row>
    <row r="163" s="32" customFormat="1" spans="1:94">
      <c r="A163" s="443"/>
      <c r="B163" s="443"/>
      <c r="C163" s="436"/>
      <c r="D163" s="436"/>
      <c r="E163" s="436"/>
      <c r="F163" s="436"/>
      <c r="G163" s="436"/>
      <c r="H163" s="436"/>
      <c r="I163" s="436"/>
      <c r="J163" s="436"/>
      <c r="K163" s="436"/>
      <c r="L163" s="436"/>
      <c r="M163" s="436"/>
      <c r="N163" s="436"/>
      <c r="O163" s="436"/>
      <c r="P163" s="436"/>
      <c r="Q163" s="436"/>
      <c r="R163" s="436"/>
      <c r="S163" s="436"/>
      <c r="T163" s="436"/>
      <c r="U163" s="436"/>
      <c r="V163" s="436"/>
      <c r="W163" s="436"/>
      <c r="X163" s="436"/>
      <c r="Y163" s="436"/>
      <c r="Z163" s="436"/>
      <c r="AA163" s="436"/>
      <c r="AB163" s="436"/>
      <c r="AC163" s="436"/>
      <c r="AD163" s="436"/>
      <c r="AE163" s="436"/>
      <c r="AF163" s="436"/>
      <c r="AG163" s="436"/>
      <c r="AH163" s="436"/>
      <c r="AI163" s="436"/>
      <c r="AJ163" s="436"/>
      <c r="AK163" s="436"/>
      <c r="AL163" s="436"/>
      <c r="AM163" s="436"/>
      <c r="AN163" s="436"/>
      <c r="AO163" s="436"/>
      <c r="AP163" s="436"/>
      <c r="AQ163" s="436"/>
      <c r="AR163" s="436"/>
      <c r="AS163" s="436"/>
      <c r="AT163" s="436"/>
      <c r="AU163" s="436"/>
      <c r="AV163" s="436"/>
      <c r="AW163" s="436"/>
      <c r="AX163" s="436"/>
      <c r="AY163" s="436"/>
      <c r="AZ163" s="436"/>
      <c r="BA163" s="436"/>
      <c r="BB163" s="436"/>
      <c r="BC163" s="436"/>
      <c r="BD163" s="436"/>
      <c r="BE163" s="436"/>
      <c r="BF163" s="436"/>
      <c r="BG163" s="436"/>
      <c r="BH163" s="436"/>
      <c r="BI163" s="436"/>
      <c r="BJ163" s="436"/>
      <c r="BK163" s="436"/>
      <c r="BL163" s="436"/>
      <c r="BM163" s="436"/>
      <c r="BN163" s="436"/>
      <c r="BO163" s="436"/>
      <c r="BP163" s="436"/>
      <c r="BQ163" s="436"/>
      <c r="BR163" s="436"/>
      <c r="BS163" s="436"/>
      <c r="BT163" s="436"/>
      <c r="BU163" s="436"/>
      <c r="BV163" s="436"/>
      <c r="BW163" s="436"/>
      <c r="BX163" s="436"/>
      <c r="BY163" s="436"/>
      <c r="BZ163" s="436"/>
      <c r="CA163" s="436"/>
      <c r="CB163" s="436"/>
      <c r="CC163" s="436"/>
      <c r="CD163" s="436"/>
      <c r="CE163" s="437">
        <f>SUM(IF(COLUMN($C163:$CD163)&lt;(3+'2、试卷（期末）'!$B$2),$C163:$CD163,))</f>
        <v>0</v>
      </c>
      <c r="CF163" s="437">
        <f>SUM(IF(COLUMN($C163:$CD163)&lt;(3+SUM('2、试卷（期末）'!$B$2:$B$3)),$C163:$CD163,))-$CE163</f>
        <v>0</v>
      </c>
      <c r="CG163" s="437">
        <f>SUM(IF(COLUMN($C163:$CD163)&lt;(3+SUM('2、试卷（期末）'!$B$2:$B$4)),$C163:$CD163,))-SUM($CE163:$CF163)</f>
        <v>0</v>
      </c>
      <c r="CH163" s="437">
        <f>SUM(IF(COLUMN($C163:$CD163)&lt;(3+SUM('2、试卷（期末）'!$B$2:$B$5)),$C163:$CD163,))-SUM($CE163:$CG163)</f>
        <v>0</v>
      </c>
      <c r="CI163" s="437">
        <f>SUM(IF(COLUMN($C163:$CD163)&lt;(3+SUM('2、试卷（期末）'!$B$2:$B$6)),$C163:$CD163,))-SUM($CE163:$CH163)</f>
        <v>0</v>
      </c>
      <c r="CJ163" s="437">
        <f>SUM(IF(COLUMN($C163:$CD163)&lt;(3+SUM('2、试卷（期末）'!$B$2:$B$7)),$C163:$CD163,))-SUM($CE163:$CI163)</f>
        <v>0</v>
      </c>
      <c r="CK163" s="437">
        <f>SUM(IF(COLUMN($C163:$CD163)&lt;(3+SUM('2、试卷（期末）'!$B$2:$B$8)),$C163:$CD163,))-SUM($CE163:$CJ163)</f>
        <v>0</v>
      </c>
      <c r="CL163" s="437">
        <f>SUM(IF(COLUMN($C163:$CD163)&lt;(3+SUM('2、试卷（期末）'!$B$2:$B$9)),$C163:$CD163,))-SUM($CE163:$CK163)</f>
        <v>0</v>
      </c>
      <c r="CM163" s="437">
        <f>SUM(IF(COLUMN($C163:$CD163)&lt;(3+SUM('2、试卷（期末）'!$B$2:$B$10)),$C163:$CD163,))-SUM($CE163:$CL163)</f>
        <v>0</v>
      </c>
      <c r="CN163" s="437">
        <f>SUM(IF(COLUMN($C163:$CD163)&lt;(3+SUM('2、试卷（期末）'!$B$2:$B$11)),$C163:$CD163,))-SUM($CE163:$CM163)</f>
        <v>0</v>
      </c>
      <c r="CO163" s="437">
        <f t="shared" ref="CO163:CO201" si="5">SUM(C163:CD163)</f>
        <v>0</v>
      </c>
      <c r="CP163" s="438">
        <f ca="1">ROUND(CO163*'1、课程目标与考核方式'!$H$13/100+IF(ISERROR(VLOOKUP(A163,'4、平时成绩'!$A$2:$H$201,8,FALSE)),0,VLOOKUP(A163,'4、平时成绩'!$A$2:$H$201,8,FALSE)),0)</f>
        <v>0</v>
      </c>
    </row>
    <row r="164" s="32" customFormat="1" spans="1:94">
      <c r="A164" s="443"/>
      <c r="B164" s="443"/>
      <c r="C164" s="436"/>
      <c r="D164" s="436"/>
      <c r="E164" s="436"/>
      <c r="F164" s="436"/>
      <c r="G164" s="436"/>
      <c r="H164" s="436"/>
      <c r="I164" s="436"/>
      <c r="J164" s="436"/>
      <c r="K164" s="436"/>
      <c r="L164" s="436"/>
      <c r="M164" s="436"/>
      <c r="N164" s="436"/>
      <c r="O164" s="436"/>
      <c r="P164" s="436"/>
      <c r="Q164" s="436"/>
      <c r="R164" s="436"/>
      <c r="S164" s="436"/>
      <c r="T164" s="436"/>
      <c r="U164" s="436"/>
      <c r="V164" s="436"/>
      <c r="W164" s="436"/>
      <c r="X164" s="436"/>
      <c r="Y164" s="436"/>
      <c r="Z164" s="436"/>
      <c r="AA164" s="436"/>
      <c r="AB164" s="436"/>
      <c r="AC164" s="436"/>
      <c r="AD164" s="436"/>
      <c r="AE164" s="436"/>
      <c r="AF164" s="436"/>
      <c r="AG164" s="436"/>
      <c r="AH164" s="436"/>
      <c r="AI164" s="436"/>
      <c r="AJ164" s="436"/>
      <c r="AK164" s="436"/>
      <c r="AL164" s="436"/>
      <c r="AM164" s="436"/>
      <c r="AN164" s="436"/>
      <c r="AO164" s="436"/>
      <c r="AP164" s="436"/>
      <c r="AQ164" s="436"/>
      <c r="AR164" s="436"/>
      <c r="AS164" s="436"/>
      <c r="AT164" s="436"/>
      <c r="AU164" s="436"/>
      <c r="AV164" s="436"/>
      <c r="AW164" s="436"/>
      <c r="AX164" s="436"/>
      <c r="AY164" s="436"/>
      <c r="AZ164" s="436"/>
      <c r="BA164" s="436"/>
      <c r="BB164" s="436"/>
      <c r="BC164" s="436"/>
      <c r="BD164" s="436"/>
      <c r="BE164" s="436"/>
      <c r="BF164" s="436"/>
      <c r="BG164" s="436"/>
      <c r="BH164" s="436"/>
      <c r="BI164" s="436"/>
      <c r="BJ164" s="436"/>
      <c r="BK164" s="436"/>
      <c r="BL164" s="436"/>
      <c r="BM164" s="436"/>
      <c r="BN164" s="436"/>
      <c r="BO164" s="436"/>
      <c r="BP164" s="436"/>
      <c r="BQ164" s="436"/>
      <c r="BR164" s="436"/>
      <c r="BS164" s="436"/>
      <c r="BT164" s="436"/>
      <c r="BU164" s="436"/>
      <c r="BV164" s="436"/>
      <c r="BW164" s="436"/>
      <c r="BX164" s="436"/>
      <c r="BY164" s="436"/>
      <c r="BZ164" s="436"/>
      <c r="CA164" s="436"/>
      <c r="CB164" s="436"/>
      <c r="CC164" s="436"/>
      <c r="CD164" s="436"/>
      <c r="CE164" s="437">
        <f>SUM(IF(COLUMN($C164:$CD164)&lt;(3+'2、试卷（期末）'!$B$2),$C164:$CD164,))</f>
        <v>0</v>
      </c>
      <c r="CF164" s="437">
        <f>SUM(IF(COLUMN($C164:$CD164)&lt;(3+SUM('2、试卷（期末）'!$B$2:$B$3)),$C164:$CD164,))-$CE164</f>
        <v>0</v>
      </c>
      <c r="CG164" s="437">
        <f>SUM(IF(COLUMN($C164:$CD164)&lt;(3+SUM('2、试卷（期末）'!$B$2:$B$4)),$C164:$CD164,))-SUM($CE164:$CF164)</f>
        <v>0</v>
      </c>
      <c r="CH164" s="437">
        <f>SUM(IF(COLUMN($C164:$CD164)&lt;(3+SUM('2、试卷（期末）'!$B$2:$B$5)),$C164:$CD164,))-SUM($CE164:$CG164)</f>
        <v>0</v>
      </c>
      <c r="CI164" s="437">
        <f>SUM(IF(COLUMN($C164:$CD164)&lt;(3+SUM('2、试卷（期末）'!$B$2:$B$6)),$C164:$CD164,))-SUM($CE164:$CH164)</f>
        <v>0</v>
      </c>
      <c r="CJ164" s="437">
        <f>SUM(IF(COLUMN($C164:$CD164)&lt;(3+SUM('2、试卷（期末）'!$B$2:$B$7)),$C164:$CD164,))-SUM($CE164:$CI164)</f>
        <v>0</v>
      </c>
      <c r="CK164" s="437">
        <f>SUM(IF(COLUMN($C164:$CD164)&lt;(3+SUM('2、试卷（期末）'!$B$2:$B$8)),$C164:$CD164,))-SUM($CE164:$CJ164)</f>
        <v>0</v>
      </c>
      <c r="CL164" s="437">
        <f>SUM(IF(COLUMN($C164:$CD164)&lt;(3+SUM('2、试卷（期末）'!$B$2:$B$9)),$C164:$CD164,))-SUM($CE164:$CK164)</f>
        <v>0</v>
      </c>
      <c r="CM164" s="437">
        <f>SUM(IF(COLUMN($C164:$CD164)&lt;(3+SUM('2、试卷（期末）'!$B$2:$B$10)),$C164:$CD164,))-SUM($CE164:$CL164)</f>
        <v>0</v>
      </c>
      <c r="CN164" s="437">
        <f>SUM(IF(COLUMN($C164:$CD164)&lt;(3+SUM('2、试卷（期末）'!$B$2:$B$11)),$C164:$CD164,))-SUM($CE164:$CM164)</f>
        <v>0</v>
      </c>
      <c r="CO164" s="437">
        <f t="shared" si="5"/>
        <v>0</v>
      </c>
      <c r="CP164" s="438">
        <f ca="1">ROUND(CO164*'1、课程目标与考核方式'!$H$13/100+IF(ISERROR(VLOOKUP(A164,'4、平时成绩'!$A$2:$H$201,8,FALSE)),0,VLOOKUP(A164,'4、平时成绩'!$A$2:$H$201,8,FALSE)),0)</f>
        <v>0</v>
      </c>
    </row>
    <row r="165" s="32" customFormat="1" spans="1:94">
      <c r="A165" s="443"/>
      <c r="B165" s="443"/>
      <c r="C165" s="436"/>
      <c r="D165" s="436"/>
      <c r="E165" s="436"/>
      <c r="F165" s="436"/>
      <c r="G165" s="436"/>
      <c r="H165" s="436"/>
      <c r="I165" s="436"/>
      <c r="J165" s="436"/>
      <c r="K165" s="436"/>
      <c r="L165" s="436"/>
      <c r="M165" s="436"/>
      <c r="N165" s="436"/>
      <c r="O165" s="436"/>
      <c r="P165" s="436"/>
      <c r="Q165" s="436"/>
      <c r="R165" s="436"/>
      <c r="S165" s="436"/>
      <c r="T165" s="436"/>
      <c r="U165" s="436"/>
      <c r="V165" s="436"/>
      <c r="W165" s="436"/>
      <c r="X165" s="436"/>
      <c r="Y165" s="436"/>
      <c r="Z165" s="436"/>
      <c r="AA165" s="436"/>
      <c r="AB165" s="436"/>
      <c r="AC165" s="436"/>
      <c r="AD165" s="436"/>
      <c r="AE165" s="436"/>
      <c r="AF165" s="436"/>
      <c r="AG165" s="436"/>
      <c r="AH165" s="436"/>
      <c r="AI165" s="436"/>
      <c r="AJ165" s="436"/>
      <c r="AK165" s="436"/>
      <c r="AL165" s="436"/>
      <c r="AM165" s="436"/>
      <c r="AN165" s="436"/>
      <c r="AO165" s="436"/>
      <c r="AP165" s="436"/>
      <c r="AQ165" s="436"/>
      <c r="AR165" s="436"/>
      <c r="AS165" s="436"/>
      <c r="AT165" s="436"/>
      <c r="AU165" s="436"/>
      <c r="AV165" s="436"/>
      <c r="AW165" s="436"/>
      <c r="AX165" s="436"/>
      <c r="AY165" s="436"/>
      <c r="AZ165" s="436"/>
      <c r="BA165" s="436"/>
      <c r="BB165" s="436"/>
      <c r="BC165" s="436"/>
      <c r="BD165" s="436"/>
      <c r="BE165" s="436"/>
      <c r="BF165" s="436"/>
      <c r="BG165" s="436"/>
      <c r="BH165" s="436"/>
      <c r="BI165" s="436"/>
      <c r="BJ165" s="436"/>
      <c r="BK165" s="436"/>
      <c r="BL165" s="436"/>
      <c r="BM165" s="436"/>
      <c r="BN165" s="436"/>
      <c r="BO165" s="436"/>
      <c r="BP165" s="436"/>
      <c r="BQ165" s="436"/>
      <c r="BR165" s="436"/>
      <c r="BS165" s="436"/>
      <c r="BT165" s="436"/>
      <c r="BU165" s="436"/>
      <c r="BV165" s="436"/>
      <c r="BW165" s="436"/>
      <c r="BX165" s="436"/>
      <c r="BY165" s="436"/>
      <c r="BZ165" s="436"/>
      <c r="CA165" s="436"/>
      <c r="CB165" s="436"/>
      <c r="CC165" s="436"/>
      <c r="CD165" s="436"/>
      <c r="CE165" s="437">
        <f>SUM(IF(COLUMN($C165:$CD165)&lt;(3+'2、试卷（期末）'!$B$2),$C165:$CD165,))</f>
        <v>0</v>
      </c>
      <c r="CF165" s="437">
        <f>SUM(IF(COLUMN($C165:$CD165)&lt;(3+SUM('2、试卷（期末）'!$B$2:$B$3)),$C165:$CD165,))-$CE165</f>
        <v>0</v>
      </c>
      <c r="CG165" s="437">
        <f>SUM(IF(COLUMN($C165:$CD165)&lt;(3+SUM('2、试卷（期末）'!$B$2:$B$4)),$C165:$CD165,))-SUM($CE165:$CF165)</f>
        <v>0</v>
      </c>
      <c r="CH165" s="437">
        <f>SUM(IF(COLUMN($C165:$CD165)&lt;(3+SUM('2、试卷（期末）'!$B$2:$B$5)),$C165:$CD165,))-SUM($CE165:$CG165)</f>
        <v>0</v>
      </c>
      <c r="CI165" s="437">
        <f>SUM(IF(COLUMN($C165:$CD165)&lt;(3+SUM('2、试卷（期末）'!$B$2:$B$6)),$C165:$CD165,))-SUM($CE165:$CH165)</f>
        <v>0</v>
      </c>
      <c r="CJ165" s="437">
        <f>SUM(IF(COLUMN($C165:$CD165)&lt;(3+SUM('2、试卷（期末）'!$B$2:$B$7)),$C165:$CD165,))-SUM($CE165:$CI165)</f>
        <v>0</v>
      </c>
      <c r="CK165" s="437">
        <f>SUM(IF(COLUMN($C165:$CD165)&lt;(3+SUM('2、试卷（期末）'!$B$2:$B$8)),$C165:$CD165,))-SUM($CE165:$CJ165)</f>
        <v>0</v>
      </c>
      <c r="CL165" s="437">
        <f>SUM(IF(COLUMN($C165:$CD165)&lt;(3+SUM('2、试卷（期末）'!$B$2:$B$9)),$C165:$CD165,))-SUM($CE165:$CK165)</f>
        <v>0</v>
      </c>
      <c r="CM165" s="437">
        <f>SUM(IF(COLUMN($C165:$CD165)&lt;(3+SUM('2、试卷（期末）'!$B$2:$B$10)),$C165:$CD165,))-SUM($CE165:$CL165)</f>
        <v>0</v>
      </c>
      <c r="CN165" s="437">
        <f>SUM(IF(COLUMN($C165:$CD165)&lt;(3+SUM('2、试卷（期末）'!$B$2:$B$11)),$C165:$CD165,))-SUM($CE165:$CM165)</f>
        <v>0</v>
      </c>
      <c r="CO165" s="437">
        <f t="shared" si="5"/>
        <v>0</v>
      </c>
      <c r="CP165" s="438">
        <f ca="1">ROUND(CO165*'1、课程目标与考核方式'!$H$13/100+IF(ISERROR(VLOOKUP(A165,'4、平时成绩'!$A$2:$H$201,8,FALSE)),0,VLOOKUP(A165,'4、平时成绩'!$A$2:$H$201,8,FALSE)),0)</f>
        <v>0</v>
      </c>
    </row>
    <row r="166" s="32" customFormat="1" spans="1:94">
      <c r="A166" s="443"/>
      <c r="B166" s="443"/>
      <c r="C166" s="436"/>
      <c r="D166" s="436"/>
      <c r="E166" s="436"/>
      <c r="F166" s="436"/>
      <c r="G166" s="436"/>
      <c r="H166" s="436"/>
      <c r="I166" s="436"/>
      <c r="J166" s="436"/>
      <c r="K166" s="436"/>
      <c r="L166" s="436"/>
      <c r="M166" s="436"/>
      <c r="N166" s="436"/>
      <c r="O166" s="436"/>
      <c r="P166" s="436"/>
      <c r="Q166" s="436"/>
      <c r="R166" s="436"/>
      <c r="S166" s="436"/>
      <c r="T166" s="436"/>
      <c r="U166" s="436"/>
      <c r="V166" s="436"/>
      <c r="W166" s="436"/>
      <c r="X166" s="436"/>
      <c r="Y166" s="436"/>
      <c r="Z166" s="436"/>
      <c r="AA166" s="436"/>
      <c r="AB166" s="436"/>
      <c r="AC166" s="436"/>
      <c r="AD166" s="436"/>
      <c r="AE166" s="436"/>
      <c r="AF166" s="436"/>
      <c r="AG166" s="436"/>
      <c r="AH166" s="436"/>
      <c r="AI166" s="436"/>
      <c r="AJ166" s="436"/>
      <c r="AK166" s="436"/>
      <c r="AL166" s="436"/>
      <c r="AM166" s="436"/>
      <c r="AN166" s="436"/>
      <c r="AO166" s="436"/>
      <c r="AP166" s="436"/>
      <c r="AQ166" s="436"/>
      <c r="AR166" s="436"/>
      <c r="AS166" s="436"/>
      <c r="AT166" s="436"/>
      <c r="AU166" s="436"/>
      <c r="AV166" s="436"/>
      <c r="AW166" s="436"/>
      <c r="AX166" s="436"/>
      <c r="AY166" s="436"/>
      <c r="AZ166" s="436"/>
      <c r="BA166" s="436"/>
      <c r="BB166" s="436"/>
      <c r="BC166" s="436"/>
      <c r="BD166" s="436"/>
      <c r="BE166" s="436"/>
      <c r="BF166" s="436"/>
      <c r="BG166" s="436"/>
      <c r="BH166" s="436"/>
      <c r="BI166" s="436"/>
      <c r="BJ166" s="436"/>
      <c r="BK166" s="436"/>
      <c r="BL166" s="436"/>
      <c r="BM166" s="436"/>
      <c r="BN166" s="436"/>
      <c r="BO166" s="436"/>
      <c r="BP166" s="436"/>
      <c r="BQ166" s="436"/>
      <c r="BR166" s="436"/>
      <c r="BS166" s="436"/>
      <c r="BT166" s="436"/>
      <c r="BU166" s="436"/>
      <c r="BV166" s="436"/>
      <c r="BW166" s="436"/>
      <c r="BX166" s="436"/>
      <c r="BY166" s="436"/>
      <c r="BZ166" s="436"/>
      <c r="CA166" s="436"/>
      <c r="CB166" s="436"/>
      <c r="CC166" s="436"/>
      <c r="CD166" s="436"/>
      <c r="CE166" s="437">
        <f>SUM(IF(COLUMN($C166:$CD166)&lt;(3+'2、试卷（期末）'!$B$2),$C166:$CD166,))</f>
        <v>0</v>
      </c>
      <c r="CF166" s="437">
        <f>SUM(IF(COLUMN($C166:$CD166)&lt;(3+SUM('2、试卷（期末）'!$B$2:$B$3)),$C166:$CD166,))-$CE166</f>
        <v>0</v>
      </c>
      <c r="CG166" s="437">
        <f>SUM(IF(COLUMN($C166:$CD166)&lt;(3+SUM('2、试卷（期末）'!$B$2:$B$4)),$C166:$CD166,))-SUM($CE166:$CF166)</f>
        <v>0</v>
      </c>
      <c r="CH166" s="437">
        <f>SUM(IF(COLUMN($C166:$CD166)&lt;(3+SUM('2、试卷（期末）'!$B$2:$B$5)),$C166:$CD166,))-SUM($CE166:$CG166)</f>
        <v>0</v>
      </c>
      <c r="CI166" s="437">
        <f>SUM(IF(COLUMN($C166:$CD166)&lt;(3+SUM('2、试卷（期末）'!$B$2:$B$6)),$C166:$CD166,))-SUM($CE166:$CH166)</f>
        <v>0</v>
      </c>
      <c r="CJ166" s="437">
        <f>SUM(IF(COLUMN($C166:$CD166)&lt;(3+SUM('2、试卷（期末）'!$B$2:$B$7)),$C166:$CD166,))-SUM($CE166:$CI166)</f>
        <v>0</v>
      </c>
      <c r="CK166" s="437">
        <f>SUM(IF(COLUMN($C166:$CD166)&lt;(3+SUM('2、试卷（期末）'!$B$2:$B$8)),$C166:$CD166,))-SUM($CE166:$CJ166)</f>
        <v>0</v>
      </c>
      <c r="CL166" s="437">
        <f>SUM(IF(COLUMN($C166:$CD166)&lt;(3+SUM('2、试卷（期末）'!$B$2:$B$9)),$C166:$CD166,))-SUM($CE166:$CK166)</f>
        <v>0</v>
      </c>
      <c r="CM166" s="437">
        <f>SUM(IF(COLUMN($C166:$CD166)&lt;(3+SUM('2、试卷（期末）'!$B$2:$B$10)),$C166:$CD166,))-SUM($CE166:$CL166)</f>
        <v>0</v>
      </c>
      <c r="CN166" s="437">
        <f>SUM(IF(COLUMN($C166:$CD166)&lt;(3+SUM('2、试卷（期末）'!$B$2:$B$11)),$C166:$CD166,))-SUM($CE166:$CM166)</f>
        <v>0</v>
      </c>
      <c r="CO166" s="437">
        <f t="shared" si="5"/>
        <v>0</v>
      </c>
      <c r="CP166" s="438">
        <f ca="1">ROUND(CO166*'1、课程目标与考核方式'!$H$13/100+IF(ISERROR(VLOOKUP(A166,'4、平时成绩'!$A$2:$H$201,8,FALSE)),0,VLOOKUP(A166,'4、平时成绩'!$A$2:$H$201,8,FALSE)),0)</f>
        <v>0</v>
      </c>
    </row>
    <row r="167" s="32" customFormat="1" spans="1:94">
      <c r="A167" s="443"/>
      <c r="B167" s="443"/>
      <c r="C167" s="436"/>
      <c r="D167" s="436"/>
      <c r="E167" s="436"/>
      <c r="F167" s="436"/>
      <c r="G167" s="436"/>
      <c r="H167" s="436"/>
      <c r="I167" s="436"/>
      <c r="J167" s="436"/>
      <c r="K167" s="436"/>
      <c r="L167" s="436"/>
      <c r="M167" s="436"/>
      <c r="N167" s="436"/>
      <c r="O167" s="436"/>
      <c r="P167" s="436"/>
      <c r="Q167" s="436"/>
      <c r="R167" s="436"/>
      <c r="S167" s="436"/>
      <c r="T167" s="436"/>
      <c r="U167" s="436"/>
      <c r="V167" s="436"/>
      <c r="W167" s="436"/>
      <c r="X167" s="436"/>
      <c r="Y167" s="436"/>
      <c r="Z167" s="436"/>
      <c r="AA167" s="436"/>
      <c r="AB167" s="436"/>
      <c r="AC167" s="436"/>
      <c r="AD167" s="436"/>
      <c r="AE167" s="436"/>
      <c r="AF167" s="436"/>
      <c r="AG167" s="436"/>
      <c r="AH167" s="436"/>
      <c r="AI167" s="436"/>
      <c r="AJ167" s="436"/>
      <c r="AK167" s="436"/>
      <c r="AL167" s="436"/>
      <c r="AM167" s="436"/>
      <c r="AN167" s="436"/>
      <c r="AO167" s="436"/>
      <c r="AP167" s="436"/>
      <c r="AQ167" s="436"/>
      <c r="AR167" s="436"/>
      <c r="AS167" s="436"/>
      <c r="AT167" s="436"/>
      <c r="AU167" s="436"/>
      <c r="AV167" s="436"/>
      <c r="AW167" s="436"/>
      <c r="AX167" s="436"/>
      <c r="AY167" s="436"/>
      <c r="AZ167" s="436"/>
      <c r="BA167" s="436"/>
      <c r="BB167" s="436"/>
      <c r="BC167" s="436"/>
      <c r="BD167" s="436"/>
      <c r="BE167" s="436"/>
      <c r="BF167" s="436"/>
      <c r="BG167" s="436"/>
      <c r="BH167" s="436"/>
      <c r="BI167" s="436"/>
      <c r="BJ167" s="436"/>
      <c r="BK167" s="436"/>
      <c r="BL167" s="436"/>
      <c r="BM167" s="436"/>
      <c r="BN167" s="436"/>
      <c r="BO167" s="436"/>
      <c r="BP167" s="436"/>
      <c r="BQ167" s="436"/>
      <c r="BR167" s="436"/>
      <c r="BS167" s="436"/>
      <c r="BT167" s="436"/>
      <c r="BU167" s="436"/>
      <c r="BV167" s="436"/>
      <c r="BW167" s="436"/>
      <c r="BX167" s="436"/>
      <c r="BY167" s="436"/>
      <c r="BZ167" s="436"/>
      <c r="CA167" s="436"/>
      <c r="CB167" s="436"/>
      <c r="CC167" s="436"/>
      <c r="CD167" s="436"/>
      <c r="CE167" s="437">
        <f>SUM(IF(COLUMN($C167:$CD167)&lt;(3+'2、试卷（期末）'!$B$2),$C167:$CD167,))</f>
        <v>0</v>
      </c>
      <c r="CF167" s="437">
        <f>SUM(IF(COLUMN($C167:$CD167)&lt;(3+SUM('2、试卷（期末）'!$B$2:$B$3)),$C167:$CD167,))-$CE167</f>
        <v>0</v>
      </c>
      <c r="CG167" s="437">
        <f>SUM(IF(COLUMN($C167:$CD167)&lt;(3+SUM('2、试卷（期末）'!$B$2:$B$4)),$C167:$CD167,))-SUM($CE167:$CF167)</f>
        <v>0</v>
      </c>
      <c r="CH167" s="437">
        <f>SUM(IF(COLUMN($C167:$CD167)&lt;(3+SUM('2、试卷（期末）'!$B$2:$B$5)),$C167:$CD167,))-SUM($CE167:$CG167)</f>
        <v>0</v>
      </c>
      <c r="CI167" s="437">
        <f>SUM(IF(COLUMN($C167:$CD167)&lt;(3+SUM('2、试卷（期末）'!$B$2:$B$6)),$C167:$CD167,))-SUM($CE167:$CH167)</f>
        <v>0</v>
      </c>
      <c r="CJ167" s="437">
        <f>SUM(IF(COLUMN($C167:$CD167)&lt;(3+SUM('2、试卷（期末）'!$B$2:$B$7)),$C167:$CD167,))-SUM($CE167:$CI167)</f>
        <v>0</v>
      </c>
      <c r="CK167" s="437">
        <f>SUM(IF(COLUMN($C167:$CD167)&lt;(3+SUM('2、试卷（期末）'!$B$2:$B$8)),$C167:$CD167,))-SUM($CE167:$CJ167)</f>
        <v>0</v>
      </c>
      <c r="CL167" s="437">
        <f>SUM(IF(COLUMN($C167:$CD167)&lt;(3+SUM('2、试卷（期末）'!$B$2:$B$9)),$C167:$CD167,))-SUM($CE167:$CK167)</f>
        <v>0</v>
      </c>
      <c r="CM167" s="437">
        <f>SUM(IF(COLUMN($C167:$CD167)&lt;(3+SUM('2、试卷（期末）'!$B$2:$B$10)),$C167:$CD167,))-SUM($CE167:$CL167)</f>
        <v>0</v>
      </c>
      <c r="CN167" s="437">
        <f>SUM(IF(COLUMN($C167:$CD167)&lt;(3+SUM('2、试卷（期末）'!$B$2:$B$11)),$C167:$CD167,))-SUM($CE167:$CM167)</f>
        <v>0</v>
      </c>
      <c r="CO167" s="437">
        <f t="shared" si="5"/>
        <v>0</v>
      </c>
      <c r="CP167" s="438">
        <f ca="1">ROUND(CO167*'1、课程目标与考核方式'!$H$13/100+IF(ISERROR(VLOOKUP(A167,'4、平时成绩'!$A$2:$H$201,8,FALSE)),0,VLOOKUP(A167,'4、平时成绩'!$A$2:$H$201,8,FALSE)),0)</f>
        <v>0</v>
      </c>
    </row>
    <row r="168" s="32" customFormat="1" spans="1:94">
      <c r="A168" s="443"/>
      <c r="B168" s="443"/>
      <c r="C168" s="436"/>
      <c r="D168" s="436"/>
      <c r="E168" s="436"/>
      <c r="F168" s="436"/>
      <c r="G168" s="436"/>
      <c r="H168" s="436"/>
      <c r="I168" s="436"/>
      <c r="J168" s="436"/>
      <c r="K168" s="436"/>
      <c r="L168" s="436"/>
      <c r="M168" s="436"/>
      <c r="N168" s="436"/>
      <c r="O168" s="436"/>
      <c r="P168" s="436"/>
      <c r="Q168" s="436"/>
      <c r="R168" s="436"/>
      <c r="S168" s="436"/>
      <c r="T168" s="436"/>
      <c r="U168" s="436"/>
      <c r="V168" s="436"/>
      <c r="W168" s="436"/>
      <c r="X168" s="436"/>
      <c r="Y168" s="436"/>
      <c r="Z168" s="436"/>
      <c r="AA168" s="436"/>
      <c r="AB168" s="436"/>
      <c r="AC168" s="436"/>
      <c r="AD168" s="436"/>
      <c r="AE168" s="436"/>
      <c r="AF168" s="436"/>
      <c r="AG168" s="436"/>
      <c r="AH168" s="436"/>
      <c r="AI168" s="436"/>
      <c r="AJ168" s="436"/>
      <c r="AK168" s="436"/>
      <c r="AL168" s="436"/>
      <c r="AM168" s="436"/>
      <c r="AN168" s="436"/>
      <c r="AO168" s="436"/>
      <c r="AP168" s="436"/>
      <c r="AQ168" s="436"/>
      <c r="AR168" s="436"/>
      <c r="AS168" s="436"/>
      <c r="AT168" s="436"/>
      <c r="AU168" s="436"/>
      <c r="AV168" s="436"/>
      <c r="AW168" s="436"/>
      <c r="AX168" s="436"/>
      <c r="AY168" s="436"/>
      <c r="AZ168" s="436"/>
      <c r="BA168" s="436"/>
      <c r="BB168" s="436"/>
      <c r="BC168" s="436"/>
      <c r="BD168" s="436"/>
      <c r="BE168" s="436"/>
      <c r="BF168" s="436"/>
      <c r="BG168" s="436"/>
      <c r="BH168" s="436"/>
      <c r="BI168" s="436"/>
      <c r="BJ168" s="436"/>
      <c r="BK168" s="436"/>
      <c r="BL168" s="436"/>
      <c r="BM168" s="436"/>
      <c r="BN168" s="436"/>
      <c r="BO168" s="436"/>
      <c r="BP168" s="436"/>
      <c r="BQ168" s="436"/>
      <c r="BR168" s="436"/>
      <c r="BS168" s="436"/>
      <c r="BT168" s="436"/>
      <c r="BU168" s="436"/>
      <c r="BV168" s="436"/>
      <c r="BW168" s="436"/>
      <c r="BX168" s="436"/>
      <c r="BY168" s="436"/>
      <c r="BZ168" s="436"/>
      <c r="CA168" s="436"/>
      <c r="CB168" s="436"/>
      <c r="CC168" s="436"/>
      <c r="CD168" s="436"/>
      <c r="CE168" s="437">
        <f>SUM(IF(COLUMN($C168:$CD168)&lt;(3+'2、试卷（期末）'!$B$2),$C168:$CD168,))</f>
        <v>0</v>
      </c>
      <c r="CF168" s="437">
        <f>SUM(IF(COLUMN($C168:$CD168)&lt;(3+SUM('2、试卷（期末）'!$B$2:$B$3)),$C168:$CD168,))-$CE168</f>
        <v>0</v>
      </c>
      <c r="CG168" s="437">
        <f>SUM(IF(COLUMN($C168:$CD168)&lt;(3+SUM('2、试卷（期末）'!$B$2:$B$4)),$C168:$CD168,))-SUM($CE168:$CF168)</f>
        <v>0</v>
      </c>
      <c r="CH168" s="437">
        <f>SUM(IF(COLUMN($C168:$CD168)&lt;(3+SUM('2、试卷（期末）'!$B$2:$B$5)),$C168:$CD168,))-SUM($CE168:$CG168)</f>
        <v>0</v>
      </c>
      <c r="CI168" s="437">
        <f>SUM(IF(COLUMN($C168:$CD168)&lt;(3+SUM('2、试卷（期末）'!$B$2:$B$6)),$C168:$CD168,))-SUM($CE168:$CH168)</f>
        <v>0</v>
      </c>
      <c r="CJ168" s="437">
        <f>SUM(IF(COLUMN($C168:$CD168)&lt;(3+SUM('2、试卷（期末）'!$B$2:$B$7)),$C168:$CD168,))-SUM($CE168:$CI168)</f>
        <v>0</v>
      </c>
      <c r="CK168" s="437">
        <f>SUM(IF(COLUMN($C168:$CD168)&lt;(3+SUM('2、试卷（期末）'!$B$2:$B$8)),$C168:$CD168,))-SUM($CE168:$CJ168)</f>
        <v>0</v>
      </c>
      <c r="CL168" s="437">
        <f>SUM(IF(COLUMN($C168:$CD168)&lt;(3+SUM('2、试卷（期末）'!$B$2:$B$9)),$C168:$CD168,))-SUM($CE168:$CK168)</f>
        <v>0</v>
      </c>
      <c r="CM168" s="437">
        <f>SUM(IF(COLUMN($C168:$CD168)&lt;(3+SUM('2、试卷（期末）'!$B$2:$B$10)),$C168:$CD168,))-SUM($CE168:$CL168)</f>
        <v>0</v>
      </c>
      <c r="CN168" s="437">
        <f>SUM(IF(COLUMN($C168:$CD168)&lt;(3+SUM('2、试卷（期末）'!$B$2:$B$11)),$C168:$CD168,))-SUM($CE168:$CM168)</f>
        <v>0</v>
      </c>
      <c r="CO168" s="437">
        <f t="shared" si="5"/>
        <v>0</v>
      </c>
      <c r="CP168" s="438">
        <f ca="1">ROUND(CO168*'1、课程目标与考核方式'!$H$13/100+IF(ISERROR(VLOOKUP(A168,'4、平时成绩'!$A$2:$H$201,8,FALSE)),0,VLOOKUP(A168,'4、平时成绩'!$A$2:$H$201,8,FALSE)),0)</f>
        <v>0</v>
      </c>
    </row>
    <row r="169" s="32" customFormat="1" spans="1:94">
      <c r="A169" s="443"/>
      <c r="B169" s="443"/>
      <c r="C169" s="436"/>
      <c r="D169" s="436"/>
      <c r="E169" s="436"/>
      <c r="F169" s="436"/>
      <c r="G169" s="436"/>
      <c r="H169" s="436"/>
      <c r="I169" s="436"/>
      <c r="J169" s="436"/>
      <c r="K169" s="436"/>
      <c r="L169" s="436"/>
      <c r="M169" s="436"/>
      <c r="N169" s="436"/>
      <c r="O169" s="436"/>
      <c r="P169" s="436"/>
      <c r="Q169" s="436"/>
      <c r="R169" s="436"/>
      <c r="S169" s="436"/>
      <c r="T169" s="436"/>
      <c r="U169" s="436"/>
      <c r="V169" s="436"/>
      <c r="W169" s="436"/>
      <c r="X169" s="436"/>
      <c r="Y169" s="436"/>
      <c r="Z169" s="436"/>
      <c r="AA169" s="436"/>
      <c r="AB169" s="436"/>
      <c r="AC169" s="436"/>
      <c r="AD169" s="436"/>
      <c r="AE169" s="436"/>
      <c r="AF169" s="436"/>
      <c r="AG169" s="436"/>
      <c r="AH169" s="436"/>
      <c r="AI169" s="436"/>
      <c r="AJ169" s="436"/>
      <c r="AK169" s="436"/>
      <c r="AL169" s="436"/>
      <c r="AM169" s="436"/>
      <c r="AN169" s="436"/>
      <c r="AO169" s="436"/>
      <c r="AP169" s="436"/>
      <c r="AQ169" s="436"/>
      <c r="AR169" s="436"/>
      <c r="AS169" s="436"/>
      <c r="AT169" s="436"/>
      <c r="AU169" s="436"/>
      <c r="AV169" s="436"/>
      <c r="AW169" s="436"/>
      <c r="AX169" s="436"/>
      <c r="AY169" s="436"/>
      <c r="AZ169" s="436"/>
      <c r="BA169" s="436"/>
      <c r="BB169" s="436"/>
      <c r="BC169" s="436"/>
      <c r="BD169" s="436"/>
      <c r="BE169" s="436"/>
      <c r="BF169" s="436"/>
      <c r="BG169" s="436"/>
      <c r="BH169" s="436"/>
      <c r="BI169" s="436"/>
      <c r="BJ169" s="436"/>
      <c r="BK169" s="436"/>
      <c r="BL169" s="436"/>
      <c r="BM169" s="436"/>
      <c r="BN169" s="436"/>
      <c r="BO169" s="436"/>
      <c r="BP169" s="436"/>
      <c r="BQ169" s="436"/>
      <c r="BR169" s="436"/>
      <c r="BS169" s="436"/>
      <c r="BT169" s="436"/>
      <c r="BU169" s="436"/>
      <c r="BV169" s="436"/>
      <c r="BW169" s="436"/>
      <c r="BX169" s="436"/>
      <c r="BY169" s="436"/>
      <c r="BZ169" s="436"/>
      <c r="CA169" s="436"/>
      <c r="CB169" s="436"/>
      <c r="CC169" s="436"/>
      <c r="CD169" s="436"/>
      <c r="CE169" s="437">
        <f>SUM(IF(COLUMN($C169:$CD169)&lt;(3+'2、试卷（期末）'!$B$2),$C169:$CD169,))</f>
        <v>0</v>
      </c>
      <c r="CF169" s="437">
        <f>SUM(IF(COLUMN($C169:$CD169)&lt;(3+SUM('2、试卷（期末）'!$B$2:$B$3)),$C169:$CD169,))-$CE169</f>
        <v>0</v>
      </c>
      <c r="CG169" s="437">
        <f>SUM(IF(COLUMN($C169:$CD169)&lt;(3+SUM('2、试卷（期末）'!$B$2:$B$4)),$C169:$CD169,))-SUM($CE169:$CF169)</f>
        <v>0</v>
      </c>
      <c r="CH169" s="437">
        <f>SUM(IF(COLUMN($C169:$CD169)&lt;(3+SUM('2、试卷（期末）'!$B$2:$B$5)),$C169:$CD169,))-SUM($CE169:$CG169)</f>
        <v>0</v>
      </c>
      <c r="CI169" s="437">
        <f>SUM(IF(COLUMN($C169:$CD169)&lt;(3+SUM('2、试卷（期末）'!$B$2:$B$6)),$C169:$CD169,))-SUM($CE169:$CH169)</f>
        <v>0</v>
      </c>
      <c r="CJ169" s="437">
        <f>SUM(IF(COLUMN($C169:$CD169)&lt;(3+SUM('2、试卷（期末）'!$B$2:$B$7)),$C169:$CD169,))-SUM($CE169:$CI169)</f>
        <v>0</v>
      </c>
      <c r="CK169" s="437">
        <f>SUM(IF(COLUMN($C169:$CD169)&lt;(3+SUM('2、试卷（期末）'!$B$2:$B$8)),$C169:$CD169,))-SUM($CE169:$CJ169)</f>
        <v>0</v>
      </c>
      <c r="CL169" s="437">
        <f>SUM(IF(COLUMN($C169:$CD169)&lt;(3+SUM('2、试卷（期末）'!$B$2:$B$9)),$C169:$CD169,))-SUM($CE169:$CK169)</f>
        <v>0</v>
      </c>
      <c r="CM169" s="437">
        <f>SUM(IF(COLUMN($C169:$CD169)&lt;(3+SUM('2、试卷（期末）'!$B$2:$B$10)),$C169:$CD169,))-SUM($CE169:$CL169)</f>
        <v>0</v>
      </c>
      <c r="CN169" s="437">
        <f>SUM(IF(COLUMN($C169:$CD169)&lt;(3+SUM('2、试卷（期末）'!$B$2:$B$11)),$C169:$CD169,))-SUM($CE169:$CM169)</f>
        <v>0</v>
      </c>
      <c r="CO169" s="437">
        <f t="shared" si="5"/>
        <v>0</v>
      </c>
      <c r="CP169" s="438">
        <f ca="1">ROUND(CO169*'1、课程目标与考核方式'!$H$13/100+IF(ISERROR(VLOOKUP(A169,'4、平时成绩'!$A$2:$H$201,8,FALSE)),0,VLOOKUP(A169,'4、平时成绩'!$A$2:$H$201,8,FALSE)),0)</f>
        <v>0</v>
      </c>
    </row>
    <row r="170" s="32" customFormat="1" spans="1:94">
      <c r="A170" s="443"/>
      <c r="B170" s="443"/>
      <c r="C170" s="436"/>
      <c r="D170" s="436"/>
      <c r="E170" s="436"/>
      <c r="F170" s="436"/>
      <c r="G170" s="436"/>
      <c r="H170" s="436"/>
      <c r="I170" s="436"/>
      <c r="J170" s="436"/>
      <c r="K170" s="436"/>
      <c r="L170" s="436"/>
      <c r="M170" s="436"/>
      <c r="N170" s="436"/>
      <c r="O170" s="436"/>
      <c r="P170" s="436"/>
      <c r="Q170" s="436"/>
      <c r="R170" s="436"/>
      <c r="S170" s="436"/>
      <c r="T170" s="436"/>
      <c r="U170" s="436"/>
      <c r="V170" s="436"/>
      <c r="W170" s="436"/>
      <c r="X170" s="436"/>
      <c r="Y170" s="436"/>
      <c r="Z170" s="436"/>
      <c r="AA170" s="436"/>
      <c r="AB170" s="436"/>
      <c r="AC170" s="436"/>
      <c r="AD170" s="436"/>
      <c r="AE170" s="436"/>
      <c r="AF170" s="436"/>
      <c r="AG170" s="436"/>
      <c r="AH170" s="436"/>
      <c r="AI170" s="436"/>
      <c r="AJ170" s="436"/>
      <c r="AK170" s="436"/>
      <c r="AL170" s="436"/>
      <c r="AM170" s="436"/>
      <c r="AN170" s="436"/>
      <c r="AO170" s="436"/>
      <c r="AP170" s="436"/>
      <c r="AQ170" s="436"/>
      <c r="AR170" s="436"/>
      <c r="AS170" s="436"/>
      <c r="AT170" s="436"/>
      <c r="AU170" s="436"/>
      <c r="AV170" s="436"/>
      <c r="AW170" s="436"/>
      <c r="AX170" s="436"/>
      <c r="AY170" s="436"/>
      <c r="AZ170" s="436"/>
      <c r="BA170" s="436"/>
      <c r="BB170" s="436"/>
      <c r="BC170" s="436"/>
      <c r="BD170" s="436"/>
      <c r="BE170" s="436"/>
      <c r="BF170" s="436"/>
      <c r="BG170" s="436"/>
      <c r="BH170" s="436"/>
      <c r="BI170" s="436"/>
      <c r="BJ170" s="436"/>
      <c r="BK170" s="436"/>
      <c r="BL170" s="436"/>
      <c r="BM170" s="436"/>
      <c r="BN170" s="436"/>
      <c r="BO170" s="436"/>
      <c r="BP170" s="436"/>
      <c r="BQ170" s="436"/>
      <c r="BR170" s="436"/>
      <c r="BS170" s="436"/>
      <c r="BT170" s="436"/>
      <c r="BU170" s="436"/>
      <c r="BV170" s="436"/>
      <c r="BW170" s="436"/>
      <c r="BX170" s="436"/>
      <c r="BY170" s="436"/>
      <c r="BZ170" s="436"/>
      <c r="CA170" s="436"/>
      <c r="CB170" s="436"/>
      <c r="CC170" s="436"/>
      <c r="CD170" s="436"/>
      <c r="CE170" s="437">
        <f>SUM(IF(COLUMN($C170:$CD170)&lt;(3+'2、试卷（期末）'!$B$2),$C170:$CD170,))</f>
        <v>0</v>
      </c>
      <c r="CF170" s="437">
        <f>SUM(IF(COLUMN($C170:$CD170)&lt;(3+SUM('2、试卷（期末）'!$B$2:$B$3)),$C170:$CD170,))-$CE170</f>
        <v>0</v>
      </c>
      <c r="CG170" s="437">
        <f>SUM(IF(COLUMN($C170:$CD170)&lt;(3+SUM('2、试卷（期末）'!$B$2:$B$4)),$C170:$CD170,))-SUM($CE170:$CF170)</f>
        <v>0</v>
      </c>
      <c r="CH170" s="437">
        <f>SUM(IF(COLUMN($C170:$CD170)&lt;(3+SUM('2、试卷（期末）'!$B$2:$B$5)),$C170:$CD170,))-SUM($CE170:$CG170)</f>
        <v>0</v>
      </c>
      <c r="CI170" s="437">
        <f>SUM(IF(COLUMN($C170:$CD170)&lt;(3+SUM('2、试卷（期末）'!$B$2:$B$6)),$C170:$CD170,))-SUM($CE170:$CH170)</f>
        <v>0</v>
      </c>
      <c r="CJ170" s="437">
        <f>SUM(IF(COLUMN($C170:$CD170)&lt;(3+SUM('2、试卷（期末）'!$B$2:$B$7)),$C170:$CD170,))-SUM($CE170:$CI170)</f>
        <v>0</v>
      </c>
      <c r="CK170" s="437">
        <f>SUM(IF(COLUMN($C170:$CD170)&lt;(3+SUM('2、试卷（期末）'!$B$2:$B$8)),$C170:$CD170,))-SUM($CE170:$CJ170)</f>
        <v>0</v>
      </c>
      <c r="CL170" s="437">
        <f>SUM(IF(COLUMN($C170:$CD170)&lt;(3+SUM('2、试卷（期末）'!$B$2:$B$9)),$C170:$CD170,))-SUM($CE170:$CK170)</f>
        <v>0</v>
      </c>
      <c r="CM170" s="437">
        <f>SUM(IF(COLUMN($C170:$CD170)&lt;(3+SUM('2、试卷（期末）'!$B$2:$B$10)),$C170:$CD170,))-SUM($CE170:$CL170)</f>
        <v>0</v>
      </c>
      <c r="CN170" s="437">
        <f>SUM(IF(COLUMN($C170:$CD170)&lt;(3+SUM('2、试卷（期末）'!$B$2:$B$11)),$C170:$CD170,))-SUM($CE170:$CM170)</f>
        <v>0</v>
      </c>
      <c r="CO170" s="437">
        <f t="shared" si="5"/>
        <v>0</v>
      </c>
      <c r="CP170" s="438">
        <f ca="1">ROUND(CO170*'1、课程目标与考核方式'!$H$13/100+IF(ISERROR(VLOOKUP(A170,'4、平时成绩'!$A$2:$H$201,8,FALSE)),0,VLOOKUP(A170,'4、平时成绩'!$A$2:$H$201,8,FALSE)),0)</f>
        <v>0</v>
      </c>
    </row>
    <row r="171" s="32" customFormat="1" spans="1:94">
      <c r="A171" s="443"/>
      <c r="B171" s="443"/>
      <c r="C171" s="436"/>
      <c r="D171" s="436"/>
      <c r="E171" s="436"/>
      <c r="F171" s="436"/>
      <c r="G171" s="436"/>
      <c r="H171" s="436"/>
      <c r="I171" s="436"/>
      <c r="J171" s="436"/>
      <c r="K171" s="436"/>
      <c r="L171" s="436"/>
      <c r="M171" s="436"/>
      <c r="N171" s="436"/>
      <c r="O171" s="436"/>
      <c r="P171" s="436"/>
      <c r="Q171" s="436"/>
      <c r="R171" s="436"/>
      <c r="S171" s="436"/>
      <c r="T171" s="436"/>
      <c r="U171" s="436"/>
      <c r="V171" s="436"/>
      <c r="W171" s="436"/>
      <c r="X171" s="436"/>
      <c r="Y171" s="436"/>
      <c r="Z171" s="436"/>
      <c r="AA171" s="436"/>
      <c r="AB171" s="436"/>
      <c r="AC171" s="436"/>
      <c r="AD171" s="436"/>
      <c r="AE171" s="436"/>
      <c r="AF171" s="436"/>
      <c r="AG171" s="436"/>
      <c r="AH171" s="436"/>
      <c r="AI171" s="436"/>
      <c r="AJ171" s="436"/>
      <c r="AK171" s="436"/>
      <c r="AL171" s="436"/>
      <c r="AM171" s="436"/>
      <c r="AN171" s="436"/>
      <c r="AO171" s="436"/>
      <c r="AP171" s="436"/>
      <c r="AQ171" s="436"/>
      <c r="AR171" s="436"/>
      <c r="AS171" s="436"/>
      <c r="AT171" s="436"/>
      <c r="AU171" s="436"/>
      <c r="AV171" s="436"/>
      <c r="AW171" s="436"/>
      <c r="AX171" s="436"/>
      <c r="AY171" s="436"/>
      <c r="AZ171" s="436"/>
      <c r="BA171" s="436"/>
      <c r="BB171" s="436"/>
      <c r="BC171" s="436"/>
      <c r="BD171" s="436"/>
      <c r="BE171" s="436"/>
      <c r="BF171" s="436"/>
      <c r="BG171" s="436"/>
      <c r="BH171" s="436"/>
      <c r="BI171" s="436"/>
      <c r="BJ171" s="436"/>
      <c r="BK171" s="436"/>
      <c r="BL171" s="436"/>
      <c r="BM171" s="436"/>
      <c r="BN171" s="436"/>
      <c r="BO171" s="436"/>
      <c r="BP171" s="436"/>
      <c r="BQ171" s="436"/>
      <c r="BR171" s="436"/>
      <c r="BS171" s="436"/>
      <c r="BT171" s="436"/>
      <c r="BU171" s="436"/>
      <c r="BV171" s="436"/>
      <c r="BW171" s="436"/>
      <c r="BX171" s="436"/>
      <c r="BY171" s="436"/>
      <c r="BZ171" s="436"/>
      <c r="CA171" s="436"/>
      <c r="CB171" s="436"/>
      <c r="CC171" s="436"/>
      <c r="CD171" s="436"/>
      <c r="CE171" s="437">
        <f>SUM(IF(COLUMN($C171:$CD171)&lt;(3+'2、试卷（期末）'!$B$2),$C171:$CD171,))</f>
        <v>0</v>
      </c>
      <c r="CF171" s="437">
        <f>SUM(IF(COLUMN($C171:$CD171)&lt;(3+SUM('2、试卷（期末）'!$B$2:$B$3)),$C171:$CD171,))-$CE171</f>
        <v>0</v>
      </c>
      <c r="CG171" s="437">
        <f>SUM(IF(COLUMN($C171:$CD171)&lt;(3+SUM('2、试卷（期末）'!$B$2:$B$4)),$C171:$CD171,))-SUM($CE171:$CF171)</f>
        <v>0</v>
      </c>
      <c r="CH171" s="437">
        <f>SUM(IF(COLUMN($C171:$CD171)&lt;(3+SUM('2、试卷（期末）'!$B$2:$B$5)),$C171:$CD171,))-SUM($CE171:$CG171)</f>
        <v>0</v>
      </c>
      <c r="CI171" s="437">
        <f>SUM(IF(COLUMN($C171:$CD171)&lt;(3+SUM('2、试卷（期末）'!$B$2:$B$6)),$C171:$CD171,))-SUM($CE171:$CH171)</f>
        <v>0</v>
      </c>
      <c r="CJ171" s="437">
        <f>SUM(IF(COLUMN($C171:$CD171)&lt;(3+SUM('2、试卷（期末）'!$B$2:$B$7)),$C171:$CD171,))-SUM($CE171:$CI171)</f>
        <v>0</v>
      </c>
      <c r="CK171" s="437">
        <f>SUM(IF(COLUMN($C171:$CD171)&lt;(3+SUM('2、试卷（期末）'!$B$2:$B$8)),$C171:$CD171,))-SUM($CE171:$CJ171)</f>
        <v>0</v>
      </c>
      <c r="CL171" s="437">
        <f>SUM(IF(COLUMN($C171:$CD171)&lt;(3+SUM('2、试卷（期末）'!$B$2:$B$9)),$C171:$CD171,))-SUM($CE171:$CK171)</f>
        <v>0</v>
      </c>
      <c r="CM171" s="437">
        <f>SUM(IF(COLUMN($C171:$CD171)&lt;(3+SUM('2、试卷（期末）'!$B$2:$B$10)),$C171:$CD171,))-SUM($CE171:$CL171)</f>
        <v>0</v>
      </c>
      <c r="CN171" s="437">
        <f>SUM(IF(COLUMN($C171:$CD171)&lt;(3+SUM('2、试卷（期末）'!$B$2:$B$11)),$C171:$CD171,))-SUM($CE171:$CM171)</f>
        <v>0</v>
      </c>
      <c r="CO171" s="437">
        <f t="shared" si="5"/>
        <v>0</v>
      </c>
      <c r="CP171" s="438">
        <f ca="1">ROUND(CO171*'1、课程目标与考核方式'!$H$13/100+IF(ISERROR(VLOOKUP(A171,'4、平时成绩'!$A$2:$H$201,8,FALSE)),0,VLOOKUP(A171,'4、平时成绩'!$A$2:$H$201,8,FALSE)),0)</f>
        <v>0</v>
      </c>
    </row>
    <row r="172" s="32" customFormat="1" spans="1:94">
      <c r="A172" s="443"/>
      <c r="B172" s="443"/>
      <c r="C172" s="436"/>
      <c r="D172" s="436"/>
      <c r="E172" s="436"/>
      <c r="F172" s="436"/>
      <c r="G172" s="436"/>
      <c r="H172" s="436"/>
      <c r="I172" s="436"/>
      <c r="J172" s="436"/>
      <c r="K172" s="436"/>
      <c r="L172" s="436"/>
      <c r="M172" s="436"/>
      <c r="N172" s="436"/>
      <c r="O172" s="436"/>
      <c r="P172" s="436"/>
      <c r="Q172" s="436"/>
      <c r="R172" s="436"/>
      <c r="S172" s="436"/>
      <c r="T172" s="436"/>
      <c r="U172" s="436"/>
      <c r="V172" s="436"/>
      <c r="W172" s="436"/>
      <c r="X172" s="436"/>
      <c r="Y172" s="436"/>
      <c r="Z172" s="436"/>
      <c r="AA172" s="436"/>
      <c r="AB172" s="436"/>
      <c r="AC172" s="436"/>
      <c r="AD172" s="436"/>
      <c r="AE172" s="436"/>
      <c r="AF172" s="436"/>
      <c r="AG172" s="436"/>
      <c r="AH172" s="436"/>
      <c r="AI172" s="436"/>
      <c r="AJ172" s="436"/>
      <c r="AK172" s="436"/>
      <c r="AL172" s="436"/>
      <c r="AM172" s="436"/>
      <c r="AN172" s="436"/>
      <c r="AO172" s="436"/>
      <c r="AP172" s="436"/>
      <c r="AQ172" s="436"/>
      <c r="AR172" s="436"/>
      <c r="AS172" s="436"/>
      <c r="AT172" s="436"/>
      <c r="AU172" s="436"/>
      <c r="AV172" s="436"/>
      <c r="AW172" s="436"/>
      <c r="AX172" s="436"/>
      <c r="AY172" s="436"/>
      <c r="AZ172" s="436"/>
      <c r="BA172" s="436"/>
      <c r="BB172" s="436"/>
      <c r="BC172" s="436"/>
      <c r="BD172" s="436"/>
      <c r="BE172" s="436"/>
      <c r="BF172" s="436"/>
      <c r="BG172" s="436"/>
      <c r="BH172" s="436"/>
      <c r="BI172" s="436"/>
      <c r="BJ172" s="436"/>
      <c r="BK172" s="436"/>
      <c r="BL172" s="436"/>
      <c r="BM172" s="436"/>
      <c r="BN172" s="436"/>
      <c r="BO172" s="436"/>
      <c r="BP172" s="436"/>
      <c r="BQ172" s="436"/>
      <c r="BR172" s="436"/>
      <c r="BS172" s="436"/>
      <c r="BT172" s="436"/>
      <c r="BU172" s="436"/>
      <c r="BV172" s="436"/>
      <c r="BW172" s="436"/>
      <c r="BX172" s="436"/>
      <c r="BY172" s="436"/>
      <c r="BZ172" s="436"/>
      <c r="CA172" s="436"/>
      <c r="CB172" s="436"/>
      <c r="CC172" s="436"/>
      <c r="CD172" s="436"/>
      <c r="CE172" s="437">
        <f>SUM(IF(COLUMN($C172:$CD172)&lt;(3+'2、试卷（期末）'!$B$2),$C172:$CD172,))</f>
        <v>0</v>
      </c>
      <c r="CF172" s="437">
        <f>SUM(IF(COLUMN($C172:$CD172)&lt;(3+SUM('2、试卷（期末）'!$B$2:$B$3)),$C172:$CD172,))-$CE172</f>
        <v>0</v>
      </c>
      <c r="CG172" s="437">
        <f>SUM(IF(COLUMN($C172:$CD172)&lt;(3+SUM('2、试卷（期末）'!$B$2:$B$4)),$C172:$CD172,))-SUM($CE172:$CF172)</f>
        <v>0</v>
      </c>
      <c r="CH172" s="437">
        <f>SUM(IF(COLUMN($C172:$CD172)&lt;(3+SUM('2、试卷（期末）'!$B$2:$B$5)),$C172:$CD172,))-SUM($CE172:$CG172)</f>
        <v>0</v>
      </c>
      <c r="CI172" s="437">
        <f>SUM(IF(COLUMN($C172:$CD172)&lt;(3+SUM('2、试卷（期末）'!$B$2:$B$6)),$C172:$CD172,))-SUM($CE172:$CH172)</f>
        <v>0</v>
      </c>
      <c r="CJ172" s="437">
        <f>SUM(IF(COLUMN($C172:$CD172)&lt;(3+SUM('2、试卷（期末）'!$B$2:$B$7)),$C172:$CD172,))-SUM($CE172:$CI172)</f>
        <v>0</v>
      </c>
      <c r="CK172" s="437">
        <f>SUM(IF(COLUMN($C172:$CD172)&lt;(3+SUM('2、试卷（期末）'!$B$2:$B$8)),$C172:$CD172,))-SUM($CE172:$CJ172)</f>
        <v>0</v>
      </c>
      <c r="CL172" s="437">
        <f>SUM(IF(COLUMN($C172:$CD172)&lt;(3+SUM('2、试卷（期末）'!$B$2:$B$9)),$C172:$CD172,))-SUM($CE172:$CK172)</f>
        <v>0</v>
      </c>
      <c r="CM172" s="437">
        <f>SUM(IF(COLUMN($C172:$CD172)&lt;(3+SUM('2、试卷（期末）'!$B$2:$B$10)),$C172:$CD172,))-SUM($CE172:$CL172)</f>
        <v>0</v>
      </c>
      <c r="CN172" s="437">
        <f>SUM(IF(COLUMN($C172:$CD172)&lt;(3+SUM('2、试卷（期末）'!$B$2:$B$11)),$C172:$CD172,))-SUM($CE172:$CM172)</f>
        <v>0</v>
      </c>
      <c r="CO172" s="437">
        <f t="shared" si="5"/>
        <v>0</v>
      </c>
      <c r="CP172" s="438">
        <f ca="1">ROUND(CO172*'1、课程目标与考核方式'!$H$13/100+IF(ISERROR(VLOOKUP(A172,'4、平时成绩'!$A$2:$H$201,8,FALSE)),0,VLOOKUP(A172,'4、平时成绩'!$A$2:$H$201,8,FALSE)),0)</f>
        <v>0</v>
      </c>
    </row>
    <row r="173" s="32" customFormat="1" spans="1:94">
      <c r="A173" s="443"/>
      <c r="B173" s="443"/>
      <c r="C173" s="436"/>
      <c r="D173" s="436"/>
      <c r="E173" s="436"/>
      <c r="F173" s="436"/>
      <c r="G173" s="436"/>
      <c r="H173" s="436"/>
      <c r="I173" s="436"/>
      <c r="J173" s="436"/>
      <c r="K173" s="436"/>
      <c r="L173" s="436"/>
      <c r="M173" s="436"/>
      <c r="N173" s="436"/>
      <c r="O173" s="436"/>
      <c r="P173" s="436"/>
      <c r="Q173" s="436"/>
      <c r="R173" s="436"/>
      <c r="S173" s="436"/>
      <c r="T173" s="436"/>
      <c r="U173" s="436"/>
      <c r="V173" s="436"/>
      <c r="W173" s="436"/>
      <c r="X173" s="436"/>
      <c r="Y173" s="436"/>
      <c r="Z173" s="436"/>
      <c r="AA173" s="436"/>
      <c r="AB173" s="436"/>
      <c r="AC173" s="436"/>
      <c r="AD173" s="436"/>
      <c r="AE173" s="436"/>
      <c r="AF173" s="436"/>
      <c r="AG173" s="436"/>
      <c r="AH173" s="436"/>
      <c r="AI173" s="436"/>
      <c r="AJ173" s="436"/>
      <c r="AK173" s="436"/>
      <c r="AL173" s="436"/>
      <c r="AM173" s="436"/>
      <c r="AN173" s="436"/>
      <c r="AO173" s="436"/>
      <c r="AP173" s="436"/>
      <c r="AQ173" s="436"/>
      <c r="AR173" s="436"/>
      <c r="AS173" s="436"/>
      <c r="AT173" s="436"/>
      <c r="AU173" s="436"/>
      <c r="AV173" s="436"/>
      <c r="AW173" s="436"/>
      <c r="AX173" s="436"/>
      <c r="AY173" s="436"/>
      <c r="AZ173" s="436"/>
      <c r="BA173" s="436"/>
      <c r="BB173" s="436"/>
      <c r="BC173" s="436"/>
      <c r="BD173" s="436"/>
      <c r="BE173" s="436"/>
      <c r="BF173" s="436"/>
      <c r="BG173" s="436"/>
      <c r="BH173" s="436"/>
      <c r="BI173" s="436"/>
      <c r="BJ173" s="436"/>
      <c r="BK173" s="436"/>
      <c r="BL173" s="436"/>
      <c r="BM173" s="436"/>
      <c r="BN173" s="436"/>
      <c r="BO173" s="436"/>
      <c r="BP173" s="436"/>
      <c r="BQ173" s="436"/>
      <c r="BR173" s="436"/>
      <c r="BS173" s="436"/>
      <c r="BT173" s="436"/>
      <c r="BU173" s="436"/>
      <c r="BV173" s="436"/>
      <c r="BW173" s="436"/>
      <c r="BX173" s="436"/>
      <c r="BY173" s="436"/>
      <c r="BZ173" s="436"/>
      <c r="CA173" s="436"/>
      <c r="CB173" s="436"/>
      <c r="CC173" s="436"/>
      <c r="CD173" s="436"/>
      <c r="CE173" s="437">
        <f>SUM(IF(COLUMN($C173:$CD173)&lt;(3+'2、试卷（期末）'!$B$2),$C173:$CD173,))</f>
        <v>0</v>
      </c>
      <c r="CF173" s="437">
        <f>SUM(IF(COLUMN($C173:$CD173)&lt;(3+SUM('2、试卷（期末）'!$B$2:$B$3)),$C173:$CD173,))-$CE173</f>
        <v>0</v>
      </c>
      <c r="CG173" s="437">
        <f>SUM(IF(COLUMN($C173:$CD173)&lt;(3+SUM('2、试卷（期末）'!$B$2:$B$4)),$C173:$CD173,))-SUM($CE173:$CF173)</f>
        <v>0</v>
      </c>
      <c r="CH173" s="437">
        <f>SUM(IF(COLUMN($C173:$CD173)&lt;(3+SUM('2、试卷（期末）'!$B$2:$B$5)),$C173:$CD173,))-SUM($CE173:$CG173)</f>
        <v>0</v>
      </c>
      <c r="CI173" s="437">
        <f>SUM(IF(COLUMN($C173:$CD173)&lt;(3+SUM('2、试卷（期末）'!$B$2:$B$6)),$C173:$CD173,))-SUM($CE173:$CH173)</f>
        <v>0</v>
      </c>
      <c r="CJ173" s="437">
        <f>SUM(IF(COLUMN($C173:$CD173)&lt;(3+SUM('2、试卷（期末）'!$B$2:$B$7)),$C173:$CD173,))-SUM($CE173:$CI173)</f>
        <v>0</v>
      </c>
      <c r="CK173" s="437">
        <f>SUM(IF(COLUMN($C173:$CD173)&lt;(3+SUM('2、试卷（期末）'!$B$2:$B$8)),$C173:$CD173,))-SUM($CE173:$CJ173)</f>
        <v>0</v>
      </c>
      <c r="CL173" s="437">
        <f>SUM(IF(COLUMN($C173:$CD173)&lt;(3+SUM('2、试卷（期末）'!$B$2:$B$9)),$C173:$CD173,))-SUM($CE173:$CK173)</f>
        <v>0</v>
      </c>
      <c r="CM173" s="437">
        <f>SUM(IF(COLUMN($C173:$CD173)&lt;(3+SUM('2、试卷（期末）'!$B$2:$B$10)),$C173:$CD173,))-SUM($CE173:$CL173)</f>
        <v>0</v>
      </c>
      <c r="CN173" s="437">
        <f>SUM(IF(COLUMN($C173:$CD173)&lt;(3+SUM('2、试卷（期末）'!$B$2:$B$11)),$C173:$CD173,))-SUM($CE173:$CM173)</f>
        <v>0</v>
      </c>
      <c r="CO173" s="437">
        <f t="shared" si="5"/>
        <v>0</v>
      </c>
      <c r="CP173" s="438">
        <f ca="1">ROUND(CO173*'1、课程目标与考核方式'!$H$13/100+IF(ISERROR(VLOOKUP(A173,'4、平时成绩'!$A$2:$H$201,8,FALSE)),0,VLOOKUP(A173,'4、平时成绩'!$A$2:$H$201,8,FALSE)),0)</f>
        <v>0</v>
      </c>
    </row>
    <row r="174" s="32" customFormat="1" spans="1:94">
      <c r="A174" s="443"/>
      <c r="B174" s="443"/>
      <c r="C174" s="436"/>
      <c r="D174" s="436"/>
      <c r="E174" s="436"/>
      <c r="F174" s="436"/>
      <c r="G174" s="436"/>
      <c r="H174" s="436"/>
      <c r="I174" s="436"/>
      <c r="J174" s="436"/>
      <c r="K174" s="436"/>
      <c r="L174" s="436"/>
      <c r="M174" s="436"/>
      <c r="N174" s="436"/>
      <c r="O174" s="436"/>
      <c r="P174" s="436"/>
      <c r="Q174" s="436"/>
      <c r="R174" s="436"/>
      <c r="S174" s="436"/>
      <c r="T174" s="436"/>
      <c r="U174" s="436"/>
      <c r="V174" s="436"/>
      <c r="W174" s="436"/>
      <c r="X174" s="436"/>
      <c r="Y174" s="436"/>
      <c r="Z174" s="436"/>
      <c r="AA174" s="436"/>
      <c r="AB174" s="436"/>
      <c r="AC174" s="436"/>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6"/>
      <c r="AY174" s="436"/>
      <c r="AZ174" s="436"/>
      <c r="BA174" s="436"/>
      <c r="BB174" s="436"/>
      <c r="BC174" s="436"/>
      <c r="BD174" s="436"/>
      <c r="BE174" s="436"/>
      <c r="BF174" s="436"/>
      <c r="BG174" s="436"/>
      <c r="BH174" s="436"/>
      <c r="BI174" s="436"/>
      <c r="BJ174" s="436"/>
      <c r="BK174" s="436"/>
      <c r="BL174" s="436"/>
      <c r="BM174" s="436"/>
      <c r="BN174" s="436"/>
      <c r="BO174" s="436"/>
      <c r="BP174" s="436"/>
      <c r="BQ174" s="436"/>
      <c r="BR174" s="436"/>
      <c r="BS174" s="436"/>
      <c r="BT174" s="436"/>
      <c r="BU174" s="436"/>
      <c r="BV174" s="436"/>
      <c r="BW174" s="436"/>
      <c r="BX174" s="436"/>
      <c r="BY174" s="436"/>
      <c r="BZ174" s="436"/>
      <c r="CA174" s="436"/>
      <c r="CB174" s="436"/>
      <c r="CC174" s="436"/>
      <c r="CD174" s="436"/>
      <c r="CE174" s="437">
        <f>SUM(IF(COLUMN($C174:$CD174)&lt;(3+'2、试卷（期末）'!$B$2),$C174:$CD174,))</f>
        <v>0</v>
      </c>
      <c r="CF174" s="437">
        <f>SUM(IF(COLUMN($C174:$CD174)&lt;(3+SUM('2、试卷（期末）'!$B$2:$B$3)),$C174:$CD174,))-$CE174</f>
        <v>0</v>
      </c>
      <c r="CG174" s="437">
        <f>SUM(IF(COLUMN($C174:$CD174)&lt;(3+SUM('2、试卷（期末）'!$B$2:$B$4)),$C174:$CD174,))-SUM($CE174:$CF174)</f>
        <v>0</v>
      </c>
      <c r="CH174" s="437">
        <f>SUM(IF(COLUMN($C174:$CD174)&lt;(3+SUM('2、试卷（期末）'!$B$2:$B$5)),$C174:$CD174,))-SUM($CE174:$CG174)</f>
        <v>0</v>
      </c>
      <c r="CI174" s="437">
        <f>SUM(IF(COLUMN($C174:$CD174)&lt;(3+SUM('2、试卷（期末）'!$B$2:$B$6)),$C174:$CD174,))-SUM($CE174:$CH174)</f>
        <v>0</v>
      </c>
      <c r="CJ174" s="437">
        <f>SUM(IF(COLUMN($C174:$CD174)&lt;(3+SUM('2、试卷（期末）'!$B$2:$B$7)),$C174:$CD174,))-SUM($CE174:$CI174)</f>
        <v>0</v>
      </c>
      <c r="CK174" s="437">
        <f>SUM(IF(COLUMN($C174:$CD174)&lt;(3+SUM('2、试卷（期末）'!$B$2:$B$8)),$C174:$CD174,))-SUM($CE174:$CJ174)</f>
        <v>0</v>
      </c>
      <c r="CL174" s="437">
        <f>SUM(IF(COLUMN($C174:$CD174)&lt;(3+SUM('2、试卷（期末）'!$B$2:$B$9)),$C174:$CD174,))-SUM($CE174:$CK174)</f>
        <v>0</v>
      </c>
      <c r="CM174" s="437">
        <f>SUM(IF(COLUMN($C174:$CD174)&lt;(3+SUM('2、试卷（期末）'!$B$2:$B$10)),$C174:$CD174,))-SUM($CE174:$CL174)</f>
        <v>0</v>
      </c>
      <c r="CN174" s="437">
        <f>SUM(IF(COLUMN($C174:$CD174)&lt;(3+SUM('2、试卷（期末）'!$B$2:$B$11)),$C174:$CD174,))-SUM($CE174:$CM174)</f>
        <v>0</v>
      </c>
      <c r="CO174" s="437">
        <f t="shared" si="5"/>
        <v>0</v>
      </c>
      <c r="CP174" s="438">
        <f ca="1">ROUND(CO174*'1、课程目标与考核方式'!$H$13/100+IF(ISERROR(VLOOKUP(A174,'4、平时成绩'!$A$2:$H$201,8,FALSE)),0,VLOOKUP(A174,'4、平时成绩'!$A$2:$H$201,8,FALSE)),0)</f>
        <v>0</v>
      </c>
    </row>
    <row r="175" s="32" customFormat="1" spans="1:94">
      <c r="A175" s="443"/>
      <c r="B175" s="443"/>
      <c r="C175" s="436"/>
      <c r="D175" s="436"/>
      <c r="E175" s="436"/>
      <c r="F175" s="436"/>
      <c r="G175" s="436"/>
      <c r="H175" s="436"/>
      <c r="I175" s="436"/>
      <c r="J175" s="436"/>
      <c r="K175" s="436"/>
      <c r="L175" s="436"/>
      <c r="M175" s="436"/>
      <c r="N175" s="436"/>
      <c r="O175" s="436"/>
      <c r="P175" s="436"/>
      <c r="Q175" s="436"/>
      <c r="R175" s="436"/>
      <c r="S175" s="436"/>
      <c r="T175" s="436"/>
      <c r="U175" s="436"/>
      <c r="V175" s="436"/>
      <c r="W175" s="436"/>
      <c r="X175" s="436"/>
      <c r="Y175" s="436"/>
      <c r="Z175" s="436"/>
      <c r="AA175" s="436"/>
      <c r="AB175" s="436"/>
      <c r="AC175" s="436"/>
      <c r="AD175" s="436"/>
      <c r="AE175" s="436"/>
      <c r="AF175" s="436"/>
      <c r="AG175" s="436"/>
      <c r="AH175" s="436"/>
      <c r="AI175" s="436"/>
      <c r="AJ175" s="436"/>
      <c r="AK175" s="436"/>
      <c r="AL175" s="436"/>
      <c r="AM175" s="436"/>
      <c r="AN175" s="436"/>
      <c r="AO175" s="436"/>
      <c r="AP175" s="436"/>
      <c r="AQ175" s="436"/>
      <c r="AR175" s="436"/>
      <c r="AS175" s="436"/>
      <c r="AT175" s="436"/>
      <c r="AU175" s="436"/>
      <c r="AV175" s="436"/>
      <c r="AW175" s="436"/>
      <c r="AX175" s="436"/>
      <c r="AY175" s="436"/>
      <c r="AZ175" s="436"/>
      <c r="BA175" s="436"/>
      <c r="BB175" s="436"/>
      <c r="BC175" s="436"/>
      <c r="BD175" s="436"/>
      <c r="BE175" s="436"/>
      <c r="BF175" s="436"/>
      <c r="BG175" s="436"/>
      <c r="BH175" s="436"/>
      <c r="BI175" s="436"/>
      <c r="BJ175" s="436"/>
      <c r="BK175" s="436"/>
      <c r="BL175" s="436"/>
      <c r="BM175" s="436"/>
      <c r="BN175" s="436"/>
      <c r="BO175" s="436"/>
      <c r="BP175" s="436"/>
      <c r="BQ175" s="436"/>
      <c r="BR175" s="436"/>
      <c r="BS175" s="436"/>
      <c r="BT175" s="436"/>
      <c r="BU175" s="436"/>
      <c r="BV175" s="436"/>
      <c r="BW175" s="436"/>
      <c r="BX175" s="436"/>
      <c r="BY175" s="436"/>
      <c r="BZ175" s="436"/>
      <c r="CA175" s="436"/>
      <c r="CB175" s="436"/>
      <c r="CC175" s="436"/>
      <c r="CD175" s="436"/>
      <c r="CE175" s="437">
        <f>SUM(IF(COLUMN($C175:$CD175)&lt;(3+'2、试卷（期末）'!$B$2),$C175:$CD175,))</f>
        <v>0</v>
      </c>
      <c r="CF175" s="437">
        <f>SUM(IF(COLUMN($C175:$CD175)&lt;(3+SUM('2、试卷（期末）'!$B$2:$B$3)),$C175:$CD175,))-$CE175</f>
        <v>0</v>
      </c>
      <c r="CG175" s="437">
        <f>SUM(IF(COLUMN($C175:$CD175)&lt;(3+SUM('2、试卷（期末）'!$B$2:$B$4)),$C175:$CD175,))-SUM($CE175:$CF175)</f>
        <v>0</v>
      </c>
      <c r="CH175" s="437">
        <f>SUM(IF(COLUMN($C175:$CD175)&lt;(3+SUM('2、试卷（期末）'!$B$2:$B$5)),$C175:$CD175,))-SUM($CE175:$CG175)</f>
        <v>0</v>
      </c>
      <c r="CI175" s="437">
        <f>SUM(IF(COLUMN($C175:$CD175)&lt;(3+SUM('2、试卷（期末）'!$B$2:$B$6)),$C175:$CD175,))-SUM($CE175:$CH175)</f>
        <v>0</v>
      </c>
      <c r="CJ175" s="437">
        <f>SUM(IF(COLUMN($C175:$CD175)&lt;(3+SUM('2、试卷（期末）'!$B$2:$B$7)),$C175:$CD175,))-SUM($CE175:$CI175)</f>
        <v>0</v>
      </c>
      <c r="CK175" s="437">
        <f>SUM(IF(COLUMN($C175:$CD175)&lt;(3+SUM('2、试卷（期末）'!$B$2:$B$8)),$C175:$CD175,))-SUM($CE175:$CJ175)</f>
        <v>0</v>
      </c>
      <c r="CL175" s="437">
        <f>SUM(IF(COLUMN($C175:$CD175)&lt;(3+SUM('2、试卷（期末）'!$B$2:$B$9)),$C175:$CD175,))-SUM($CE175:$CK175)</f>
        <v>0</v>
      </c>
      <c r="CM175" s="437">
        <f>SUM(IF(COLUMN($C175:$CD175)&lt;(3+SUM('2、试卷（期末）'!$B$2:$B$10)),$C175:$CD175,))-SUM($CE175:$CL175)</f>
        <v>0</v>
      </c>
      <c r="CN175" s="437">
        <f>SUM(IF(COLUMN($C175:$CD175)&lt;(3+SUM('2、试卷（期末）'!$B$2:$B$11)),$C175:$CD175,))-SUM($CE175:$CM175)</f>
        <v>0</v>
      </c>
      <c r="CO175" s="437">
        <f t="shared" si="5"/>
        <v>0</v>
      </c>
      <c r="CP175" s="438">
        <f ca="1">ROUND(CO175*'1、课程目标与考核方式'!$H$13/100+IF(ISERROR(VLOOKUP(A175,'4、平时成绩'!$A$2:$H$201,8,FALSE)),0,VLOOKUP(A175,'4、平时成绩'!$A$2:$H$201,8,FALSE)),0)</f>
        <v>0</v>
      </c>
    </row>
    <row r="176" s="32" customFormat="1" spans="1:94">
      <c r="A176" s="443"/>
      <c r="B176" s="443"/>
      <c r="C176" s="436"/>
      <c r="D176" s="436"/>
      <c r="E176" s="436"/>
      <c r="F176" s="436"/>
      <c r="G176" s="436"/>
      <c r="H176" s="436"/>
      <c r="I176" s="436"/>
      <c r="J176" s="436"/>
      <c r="K176" s="436"/>
      <c r="L176" s="436"/>
      <c r="M176" s="436"/>
      <c r="N176" s="436"/>
      <c r="O176" s="436"/>
      <c r="P176" s="436"/>
      <c r="Q176" s="436"/>
      <c r="R176" s="436"/>
      <c r="S176" s="436"/>
      <c r="T176" s="436"/>
      <c r="U176" s="436"/>
      <c r="V176" s="436"/>
      <c r="W176" s="436"/>
      <c r="X176" s="436"/>
      <c r="Y176" s="436"/>
      <c r="Z176" s="436"/>
      <c r="AA176" s="436"/>
      <c r="AB176" s="436"/>
      <c r="AC176" s="436"/>
      <c r="AD176" s="436"/>
      <c r="AE176" s="436"/>
      <c r="AF176" s="436"/>
      <c r="AG176" s="436"/>
      <c r="AH176" s="436"/>
      <c r="AI176" s="436"/>
      <c r="AJ176" s="436"/>
      <c r="AK176" s="436"/>
      <c r="AL176" s="436"/>
      <c r="AM176" s="436"/>
      <c r="AN176" s="436"/>
      <c r="AO176" s="436"/>
      <c r="AP176" s="436"/>
      <c r="AQ176" s="436"/>
      <c r="AR176" s="436"/>
      <c r="AS176" s="436"/>
      <c r="AT176" s="436"/>
      <c r="AU176" s="436"/>
      <c r="AV176" s="436"/>
      <c r="AW176" s="436"/>
      <c r="AX176" s="436"/>
      <c r="AY176" s="436"/>
      <c r="AZ176" s="436"/>
      <c r="BA176" s="436"/>
      <c r="BB176" s="436"/>
      <c r="BC176" s="436"/>
      <c r="BD176" s="436"/>
      <c r="BE176" s="436"/>
      <c r="BF176" s="436"/>
      <c r="BG176" s="436"/>
      <c r="BH176" s="436"/>
      <c r="BI176" s="436"/>
      <c r="BJ176" s="436"/>
      <c r="BK176" s="436"/>
      <c r="BL176" s="436"/>
      <c r="BM176" s="436"/>
      <c r="BN176" s="436"/>
      <c r="BO176" s="436"/>
      <c r="BP176" s="436"/>
      <c r="BQ176" s="436"/>
      <c r="BR176" s="436"/>
      <c r="BS176" s="436"/>
      <c r="BT176" s="436"/>
      <c r="BU176" s="436"/>
      <c r="BV176" s="436"/>
      <c r="BW176" s="436"/>
      <c r="BX176" s="436"/>
      <c r="BY176" s="436"/>
      <c r="BZ176" s="436"/>
      <c r="CA176" s="436"/>
      <c r="CB176" s="436"/>
      <c r="CC176" s="436"/>
      <c r="CD176" s="436"/>
      <c r="CE176" s="437">
        <f>SUM(IF(COLUMN($C176:$CD176)&lt;(3+'2、试卷（期末）'!$B$2),$C176:$CD176,))</f>
        <v>0</v>
      </c>
      <c r="CF176" s="437">
        <f>SUM(IF(COLUMN($C176:$CD176)&lt;(3+SUM('2、试卷（期末）'!$B$2:$B$3)),$C176:$CD176,))-$CE176</f>
        <v>0</v>
      </c>
      <c r="CG176" s="437">
        <f>SUM(IF(COLUMN($C176:$CD176)&lt;(3+SUM('2、试卷（期末）'!$B$2:$B$4)),$C176:$CD176,))-SUM($CE176:$CF176)</f>
        <v>0</v>
      </c>
      <c r="CH176" s="437">
        <f>SUM(IF(COLUMN($C176:$CD176)&lt;(3+SUM('2、试卷（期末）'!$B$2:$B$5)),$C176:$CD176,))-SUM($CE176:$CG176)</f>
        <v>0</v>
      </c>
      <c r="CI176" s="437">
        <f>SUM(IF(COLUMN($C176:$CD176)&lt;(3+SUM('2、试卷（期末）'!$B$2:$B$6)),$C176:$CD176,))-SUM($CE176:$CH176)</f>
        <v>0</v>
      </c>
      <c r="CJ176" s="437">
        <f>SUM(IF(COLUMN($C176:$CD176)&lt;(3+SUM('2、试卷（期末）'!$B$2:$B$7)),$C176:$CD176,))-SUM($CE176:$CI176)</f>
        <v>0</v>
      </c>
      <c r="CK176" s="437">
        <f>SUM(IF(COLUMN($C176:$CD176)&lt;(3+SUM('2、试卷（期末）'!$B$2:$B$8)),$C176:$CD176,))-SUM($CE176:$CJ176)</f>
        <v>0</v>
      </c>
      <c r="CL176" s="437">
        <f>SUM(IF(COLUMN($C176:$CD176)&lt;(3+SUM('2、试卷（期末）'!$B$2:$B$9)),$C176:$CD176,))-SUM($CE176:$CK176)</f>
        <v>0</v>
      </c>
      <c r="CM176" s="437">
        <f>SUM(IF(COLUMN($C176:$CD176)&lt;(3+SUM('2、试卷（期末）'!$B$2:$B$10)),$C176:$CD176,))-SUM($CE176:$CL176)</f>
        <v>0</v>
      </c>
      <c r="CN176" s="437">
        <f>SUM(IF(COLUMN($C176:$CD176)&lt;(3+SUM('2、试卷（期末）'!$B$2:$B$11)),$C176:$CD176,))-SUM($CE176:$CM176)</f>
        <v>0</v>
      </c>
      <c r="CO176" s="437">
        <f t="shared" si="5"/>
        <v>0</v>
      </c>
      <c r="CP176" s="438">
        <f ca="1">ROUND(CO176*'1、课程目标与考核方式'!$H$13/100+IF(ISERROR(VLOOKUP(A176,'4、平时成绩'!$A$2:$H$201,8,FALSE)),0,VLOOKUP(A176,'4、平时成绩'!$A$2:$H$201,8,FALSE)),0)</f>
        <v>0</v>
      </c>
    </row>
    <row r="177" s="32" customFormat="1" spans="1:94">
      <c r="A177" s="443"/>
      <c r="B177" s="443"/>
      <c r="C177" s="436"/>
      <c r="D177" s="436"/>
      <c r="E177" s="436"/>
      <c r="F177" s="436"/>
      <c r="G177" s="436"/>
      <c r="H177" s="436"/>
      <c r="I177" s="436"/>
      <c r="J177" s="436"/>
      <c r="K177" s="436"/>
      <c r="L177" s="436"/>
      <c r="M177" s="436"/>
      <c r="N177" s="436"/>
      <c r="O177" s="436"/>
      <c r="P177" s="436"/>
      <c r="Q177" s="436"/>
      <c r="R177" s="436"/>
      <c r="S177" s="436"/>
      <c r="T177" s="436"/>
      <c r="U177" s="436"/>
      <c r="V177" s="436"/>
      <c r="W177" s="436"/>
      <c r="X177" s="436"/>
      <c r="Y177" s="436"/>
      <c r="Z177" s="436"/>
      <c r="AA177" s="436"/>
      <c r="AB177" s="436"/>
      <c r="AC177" s="436"/>
      <c r="AD177" s="436"/>
      <c r="AE177" s="436"/>
      <c r="AF177" s="436"/>
      <c r="AG177" s="436"/>
      <c r="AH177" s="436"/>
      <c r="AI177" s="436"/>
      <c r="AJ177" s="436"/>
      <c r="AK177" s="436"/>
      <c r="AL177" s="436"/>
      <c r="AM177" s="436"/>
      <c r="AN177" s="436"/>
      <c r="AO177" s="436"/>
      <c r="AP177" s="436"/>
      <c r="AQ177" s="436"/>
      <c r="AR177" s="436"/>
      <c r="AS177" s="436"/>
      <c r="AT177" s="436"/>
      <c r="AU177" s="436"/>
      <c r="AV177" s="436"/>
      <c r="AW177" s="436"/>
      <c r="AX177" s="436"/>
      <c r="AY177" s="436"/>
      <c r="AZ177" s="436"/>
      <c r="BA177" s="436"/>
      <c r="BB177" s="436"/>
      <c r="BC177" s="436"/>
      <c r="BD177" s="436"/>
      <c r="BE177" s="436"/>
      <c r="BF177" s="436"/>
      <c r="BG177" s="436"/>
      <c r="BH177" s="436"/>
      <c r="BI177" s="436"/>
      <c r="BJ177" s="436"/>
      <c r="BK177" s="436"/>
      <c r="BL177" s="436"/>
      <c r="BM177" s="436"/>
      <c r="BN177" s="436"/>
      <c r="BO177" s="436"/>
      <c r="BP177" s="436"/>
      <c r="BQ177" s="436"/>
      <c r="BR177" s="436"/>
      <c r="BS177" s="436"/>
      <c r="BT177" s="436"/>
      <c r="BU177" s="436"/>
      <c r="BV177" s="436"/>
      <c r="BW177" s="436"/>
      <c r="BX177" s="436"/>
      <c r="BY177" s="436"/>
      <c r="BZ177" s="436"/>
      <c r="CA177" s="436"/>
      <c r="CB177" s="436"/>
      <c r="CC177" s="436"/>
      <c r="CD177" s="436"/>
      <c r="CE177" s="437">
        <f>SUM(IF(COLUMN($C177:$CD177)&lt;(3+'2、试卷（期末）'!$B$2),$C177:$CD177,))</f>
        <v>0</v>
      </c>
      <c r="CF177" s="437">
        <f>SUM(IF(COLUMN($C177:$CD177)&lt;(3+SUM('2、试卷（期末）'!$B$2:$B$3)),$C177:$CD177,))-$CE177</f>
        <v>0</v>
      </c>
      <c r="CG177" s="437">
        <f>SUM(IF(COLUMN($C177:$CD177)&lt;(3+SUM('2、试卷（期末）'!$B$2:$B$4)),$C177:$CD177,))-SUM($CE177:$CF177)</f>
        <v>0</v>
      </c>
      <c r="CH177" s="437">
        <f>SUM(IF(COLUMN($C177:$CD177)&lt;(3+SUM('2、试卷（期末）'!$B$2:$B$5)),$C177:$CD177,))-SUM($CE177:$CG177)</f>
        <v>0</v>
      </c>
      <c r="CI177" s="437">
        <f>SUM(IF(COLUMN($C177:$CD177)&lt;(3+SUM('2、试卷（期末）'!$B$2:$B$6)),$C177:$CD177,))-SUM($CE177:$CH177)</f>
        <v>0</v>
      </c>
      <c r="CJ177" s="437">
        <f>SUM(IF(COLUMN($C177:$CD177)&lt;(3+SUM('2、试卷（期末）'!$B$2:$B$7)),$C177:$CD177,))-SUM($CE177:$CI177)</f>
        <v>0</v>
      </c>
      <c r="CK177" s="437">
        <f>SUM(IF(COLUMN($C177:$CD177)&lt;(3+SUM('2、试卷（期末）'!$B$2:$B$8)),$C177:$CD177,))-SUM($CE177:$CJ177)</f>
        <v>0</v>
      </c>
      <c r="CL177" s="437">
        <f>SUM(IF(COLUMN($C177:$CD177)&lt;(3+SUM('2、试卷（期末）'!$B$2:$B$9)),$C177:$CD177,))-SUM($CE177:$CK177)</f>
        <v>0</v>
      </c>
      <c r="CM177" s="437">
        <f>SUM(IF(COLUMN($C177:$CD177)&lt;(3+SUM('2、试卷（期末）'!$B$2:$B$10)),$C177:$CD177,))-SUM($CE177:$CL177)</f>
        <v>0</v>
      </c>
      <c r="CN177" s="437">
        <f>SUM(IF(COLUMN($C177:$CD177)&lt;(3+SUM('2、试卷（期末）'!$B$2:$B$11)),$C177:$CD177,))-SUM($CE177:$CM177)</f>
        <v>0</v>
      </c>
      <c r="CO177" s="437">
        <f t="shared" si="5"/>
        <v>0</v>
      </c>
      <c r="CP177" s="438">
        <f ca="1">ROUND(CO177*'1、课程目标与考核方式'!$H$13/100+IF(ISERROR(VLOOKUP(A177,'4、平时成绩'!$A$2:$H$201,8,FALSE)),0,VLOOKUP(A177,'4、平时成绩'!$A$2:$H$201,8,FALSE)),0)</f>
        <v>0</v>
      </c>
    </row>
    <row r="178" s="32" customFormat="1" spans="1:94">
      <c r="A178" s="443"/>
      <c r="B178" s="443"/>
      <c r="C178" s="436"/>
      <c r="D178" s="436"/>
      <c r="E178" s="436"/>
      <c r="F178" s="436"/>
      <c r="G178" s="436"/>
      <c r="H178" s="436"/>
      <c r="I178" s="436"/>
      <c r="J178" s="436"/>
      <c r="K178" s="436"/>
      <c r="L178" s="436"/>
      <c r="M178" s="436"/>
      <c r="N178" s="436"/>
      <c r="O178" s="436"/>
      <c r="P178" s="436"/>
      <c r="Q178" s="436"/>
      <c r="R178" s="436"/>
      <c r="S178" s="436"/>
      <c r="T178" s="436"/>
      <c r="U178" s="436"/>
      <c r="V178" s="436"/>
      <c r="W178" s="436"/>
      <c r="X178" s="436"/>
      <c r="Y178" s="436"/>
      <c r="Z178" s="436"/>
      <c r="AA178" s="436"/>
      <c r="AB178" s="436"/>
      <c r="AC178" s="436"/>
      <c r="AD178" s="436"/>
      <c r="AE178" s="436"/>
      <c r="AF178" s="436"/>
      <c r="AG178" s="436"/>
      <c r="AH178" s="436"/>
      <c r="AI178" s="436"/>
      <c r="AJ178" s="436"/>
      <c r="AK178" s="436"/>
      <c r="AL178" s="436"/>
      <c r="AM178" s="436"/>
      <c r="AN178" s="436"/>
      <c r="AO178" s="436"/>
      <c r="AP178" s="436"/>
      <c r="AQ178" s="436"/>
      <c r="AR178" s="436"/>
      <c r="AS178" s="436"/>
      <c r="AT178" s="436"/>
      <c r="AU178" s="436"/>
      <c r="AV178" s="436"/>
      <c r="AW178" s="436"/>
      <c r="AX178" s="436"/>
      <c r="AY178" s="436"/>
      <c r="AZ178" s="436"/>
      <c r="BA178" s="436"/>
      <c r="BB178" s="436"/>
      <c r="BC178" s="436"/>
      <c r="BD178" s="436"/>
      <c r="BE178" s="436"/>
      <c r="BF178" s="436"/>
      <c r="BG178" s="436"/>
      <c r="BH178" s="436"/>
      <c r="BI178" s="436"/>
      <c r="BJ178" s="436"/>
      <c r="BK178" s="436"/>
      <c r="BL178" s="436"/>
      <c r="BM178" s="436"/>
      <c r="BN178" s="436"/>
      <c r="BO178" s="436"/>
      <c r="BP178" s="436"/>
      <c r="BQ178" s="436"/>
      <c r="BR178" s="436"/>
      <c r="BS178" s="436"/>
      <c r="BT178" s="436"/>
      <c r="BU178" s="436"/>
      <c r="BV178" s="436"/>
      <c r="BW178" s="436"/>
      <c r="BX178" s="436"/>
      <c r="BY178" s="436"/>
      <c r="BZ178" s="436"/>
      <c r="CA178" s="436"/>
      <c r="CB178" s="436"/>
      <c r="CC178" s="436"/>
      <c r="CD178" s="436"/>
      <c r="CE178" s="437">
        <f>SUM(IF(COLUMN($C178:$CD178)&lt;(3+'2、试卷（期末）'!$B$2),$C178:$CD178,))</f>
        <v>0</v>
      </c>
      <c r="CF178" s="437">
        <f>SUM(IF(COLUMN($C178:$CD178)&lt;(3+SUM('2、试卷（期末）'!$B$2:$B$3)),$C178:$CD178,))-$CE178</f>
        <v>0</v>
      </c>
      <c r="CG178" s="437">
        <f>SUM(IF(COLUMN($C178:$CD178)&lt;(3+SUM('2、试卷（期末）'!$B$2:$B$4)),$C178:$CD178,))-SUM($CE178:$CF178)</f>
        <v>0</v>
      </c>
      <c r="CH178" s="437">
        <f>SUM(IF(COLUMN($C178:$CD178)&lt;(3+SUM('2、试卷（期末）'!$B$2:$B$5)),$C178:$CD178,))-SUM($CE178:$CG178)</f>
        <v>0</v>
      </c>
      <c r="CI178" s="437">
        <f>SUM(IF(COLUMN($C178:$CD178)&lt;(3+SUM('2、试卷（期末）'!$B$2:$B$6)),$C178:$CD178,))-SUM($CE178:$CH178)</f>
        <v>0</v>
      </c>
      <c r="CJ178" s="437">
        <f>SUM(IF(COLUMN($C178:$CD178)&lt;(3+SUM('2、试卷（期末）'!$B$2:$B$7)),$C178:$CD178,))-SUM($CE178:$CI178)</f>
        <v>0</v>
      </c>
      <c r="CK178" s="437">
        <f>SUM(IF(COLUMN($C178:$CD178)&lt;(3+SUM('2、试卷（期末）'!$B$2:$B$8)),$C178:$CD178,))-SUM($CE178:$CJ178)</f>
        <v>0</v>
      </c>
      <c r="CL178" s="437">
        <f>SUM(IF(COLUMN($C178:$CD178)&lt;(3+SUM('2、试卷（期末）'!$B$2:$B$9)),$C178:$CD178,))-SUM($CE178:$CK178)</f>
        <v>0</v>
      </c>
      <c r="CM178" s="437">
        <f>SUM(IF(COLUMN($C178:$CD178)&lt;(3+SUM('2、试卷（期末）'!$B$2:$B$10)),$C178:$CD178,))-SUM($CE178:$CL178)</f>
        <v>0</v>
      </c>
      <c r="CN178" s="437">
        <f>SUM(IF(COLUMN($C178:$CD178)&lt;(3+SUM('2、试卷（期末）'!$B$2:$B$11)),$C178:$CD178,))-SUM($CE178:$CM178)</f>
        <v>0</v>
      </c>
      <c r="CO178" s="437">
        <f t="shared" si="5"/>
        <v>0</v>
      </c>
      <c r="CP178" s="438">
        <f ca="1">ROUND(CO178*'1、课程目标与考核方式'!$H$13/100+IF(ISERROR(VLOOKUP(A178,'4、平时成绩'!$A$2:$H$201,8,FALSE)),0,VLOOKUP(A178,'4、平时成绩'!$A$2:$H$201,8,FALSE)),0)</f>
        <v>0</v>
      </c>
    </row>
    <row r="179" s="32" customFormat="1" spans="1:94">
      <c r="A179" s="443"/>
      <c r="B179" s="443"/>
      <c r="C179" s="436"/>
      <c r="D179" s="436"/>
      <c r="E179" s="436"/>
      <c r="F179" s="436"/>
      <c r="G179" s="436"/>
      <c r="H179" s="436"/>
      <c r="I179" s="436"/>
      <c r="J179" s="436"/>
      <c r="K179" s="436"/>
      <c r="L179" s="436"/>
      <c r="M179" s="436"/>
      <c r="N179" s="436"/>
      <c r="O179" s="436"/>
      <c r="P179" s="436"/>
      <c r="Q179" s="436"/>
      <c r="R179" s="436"/>
      <c r="S179" s="436"/>
      <c r="T179" s="436"/>
      <c r="U179" s="436"/>
      <c r="V179" s="436"/>
      <c r="W179" s="436"/>
      <c r="X179" s="436"/>
      <c r="Y179" s="436"/>
      <c r="Z179" s="436"/>
      <c r="AA179" s="436"/>
      <c r="AB179" s="436"/>
      <c r="AC179" s="436"/>
      <c r="AD179" s="436"/>
      <c r="AE179" s="436"/>
      <c r="AF179" s="436"/>
      <c r="AG179" s="436"/>
      <c r="AH179" s="436"/>
      <c r="AI179" s="436"/>
      <c r="AJ179" s="436"/>
      <c r="AK179" s="436"/>
      <c r="AL179" s="436"/>
      <c r="AM179" s="436"/>
      <c r="AN179" s="436"/>
      <c r="AO179" s="436"/>
      <c r="AP179" s="436"/>
      <c r="AQ179" s="436"/>
      <c r="AR179" s="436"/>
      <c r="AS179" s="436"/>
      <c r="AT179" s="436"/>
      <c r="AU179" s="436"/>
      <c r="AV179" s="436"/>
      <c r="AW179" s="436"/>
      <c r="AX179" s="436"/>
      <c r="AY179" s="436"/>
      <c r="AZ179" s="436"/>
      <c r="BA179" s="436"/>
      <c r="BB179" s="436"/>
      <c r="BC179" s="436"/>
      <c r="BD179" s="436"/>
      <c r="BE179" s="436"/>
      <c r="BF179" s="436"/>
      <c r="BG179" s="436"/>
      <c r="BH179" s="436"/>
      <c r="BI179" s="436"/>
      <c r="BJ179" s="436"/>
      <c r="BK179" s="436"/>
      <c r="BL179" s="436"/>
      <c r="BM179" s="436"/>
      <c r="BN179" s="436"/>
      <c r="BO179" s="436"/>
      <c r="BP179" s="436"/>
      <c r="BQ179" s="436"/>
      <c r="BR179" s="436"/>
      <c r="BS179" s="436"/>
      <c r="BT179" s="436"/>
      <c r="BU179" s="436"/>
      <c r="BV179" s="436"/>
      <c r="BW179" s="436"/>
      <c r="BX179" s="436"/>
      <c r="BY179" s="436"/>
      <c r="BZ179" s="436"/>
      <c r="CA179" s="436"/>
      <c r="CB179" s="436"/>
      <c r="CC179" s="436"/>
      <c r="CD179" s="436"/>
      <c r="CE179" s="437">
        <f>SUM(IF(COLUMN($C179:$CD179)&lt;(3+'2、试卷（期末）'!$B$2),$C179:$CD179,))</f>
        <v>0</v>
      </c>
      <c r="CF179" s="437">
        <f>SUM(IF(COLUMN($C179:$CD179)&lt;(3+SUM('2、试卷（期末）'!$B$2:$B$3)),$C179:$CD179,))-$CE179</f>
        <v>0</v>
      </c>
      <c r="CG179" s="437">
        <f>SUM(IF(COLUMN($C179:$CD179)&lt;(3+SUM('2、试卷（期末）'!$B$2:$B$4)),$C179:$CD179,))-SUM($CE179:$CF179)</f>
        <v>0</v>
      </c>
      <c r="CH179" s="437">
        <f>SUM(IF(COLUMN($C179:$CD179)&lt;(3+SUM('2、试卷（期末）'!$B$2:$B$5)),$C179:$CD179,))-SUM($CE179:$CG179)</f>
        <v>0</v>
      </c>
      <c r="CI179" s="437">
        <f>SUM(IF(COLUMN($C179:$CD179)&lt;(3+SUM('2、试卷（期末）'!$B$2:$B$6)),$C179:$CD179,))-SUM($CE179:$CH179)</f>
        <v>0</v>
      </c>
      <c r="CJ179" s="437">
        <f>SUM(IF(COLUMN($C179:$CD179)&lt;(3+SUM('2、试卷（期末）'!$B$2:$B$7)),$C179:$CD179,))-SUM($CE179:$CI179)</f>
        <v>0</v>
      </c>
      <c r="CK179" s="437">
        <f>SUM(IF(COLUMN($C179:$CD179)&lt;(3+SUM('2、试卷（期末）'!$B$2:$B$8)),$C179:$CD179,))-SUM($CE179:$CJ179)</f>
        <v>0</v>
      </c>
      <c r="CL179" s="437">
        <f>SUM(IF(COLUMN($C179:$CD179)&lt;(3+SUM('2、试卷（期末）'!$B$2:$B$9)),$C179:$CD179,))-SUM($CE179:$CK179)</f>
        <v>0</v>
      </c>
      <c r="CM179" s="437">
        <f>SUM(IF(COLUMN($C179:$CD179)&lt;(3+SUM('2、试卷（期末）'!$B$2:$B$10)),$C179:$CD179,))-SUM($CE179:$CL179)</f>
        <v>0</v>
      </c>
      <c r="CN179" s="437">
        <f>SUM(IF(COLUMN($C179:$CD179)&lt;(3+SUM('2、试卷（期末）'!$B$2:$B$11)),$C179:$CD179,))-SUM($CE179:$CM179)</f>
        <v>0</v>
      </c>
      <c r="CO179" s="437">
        <f t="shared" si="5"/>
        <v>0</v>
      </c>
      <c r="CP179" s="438">
        <f ca="1">ROUND(CO179*'1、课程目标与考核方式'!$H$13/100+IF(ISERROR(VLOOKUP(A179,'4、平时成绩'!$A$2:$H$201,8,FALSE)),0,VLOOKUP(A179,'4、平时成绩'!$A$2:$H$201,8,FALSE)),0)</f>
        <v>0</v>
      </c>
    </row>
    <row r="180" s="32" customFormat="1" spans="1:94">
      <c r="A180" s="443"/>
      <c r="B180" s="443"/>
      <c r="C180" s="436"/>
      <c r="D180" s="436"/>
      <c r="E180" s="436"/>
      <c r="F180" s="436"/>
      <c r="G180" s="436"/>
      <c r="H180" s="436"/>
      <c r="I180" s="436"/>
      <c r="J180" s="436"/>
      <c r="K180" s="436"/>
      <c r="L180" s="436"/>
      <c r="M180" s="436"/>
      <c r="N180" s="436"/>
      <c r="O180" s="436"/>
      <c r="P180" s="436"/>
      <c r="Q180" s="436"/>
      <c r="R180" s="436"/>
      <c r="S180" s="436"/>
      <c r="T180" s="436"/>
      <c r="U180" s="436"/>
      <c r="V180" s="436"/>
      <c r="W180" s="436"/>
      <c r="X180" s="436"/>
      <c r="Y180" s="436"/>
      <c r="Z180" s="436"/>
      <c r="AA180" s="436"/>
      <c r="AB180" s="436"/>
      <c r="AC180" s="436"/>
      <c r="AD180" s="436"/>
      <c r="AE180" s="436"/>
      <c r="AF180" s="436"/>
      <c r="AG180" s="436"/>
      <c r="AH180" s="436"/>
      <c r="AI180" s="436"/>
      <c r="AJ180" s="436"/>
      <c r="AK180" s="436"/>
      <c r="AL180" s="436"/>
      <c r="AM180" s="436"/>
      <c r="AN180" s="436"/>
      <c r="AO180" s="436"/>
      <c r="AP180" s="436"/>
      <c r="AQ180" s="436"/>
      <c r="AR180" s="436"/>
      <c r="AS180" s="436"/>
      <c r="AT180" s="436"/>
      <c r="AU180" s="436"/>
      <c r="AV180" s="436"/>
      <c r="AW180" s="436"/>
      <c r="AX180" s="436"/>
      <c r="AY180" s="436"/>
      <c r="AZ180" s="436"/>
      <c r="BA180" s="436"/>
      <c r="BB180" s="436"/>
      <c r="BC180" s="436"/>
      <c r="BD180" s="436"/>
      <c r="BE180" s="436"/>
      <c r="BF180" s="436"/>
      <c r="BG180" s="436"/>
      <c r="BH180" s="436"/>
      <c r="BI180" s="436"/>
      <c r="BJ180" s="436"/>
      <c r="BK180" s="436"/>
      <c r="BL180" s="436"/>
      <c r="BM180" s="436"/>
      <c r="BN180" s="436"/>
      <c r="BO180" s="436"/>
      <c r="BP180" s="436"/>
      <c r="BQ180" s="436"/>
      <c r="BR180" s="436"/>
      <c r="BS180" s="436"/>
      <c r="BT180" s="436"/>
      <c r="BU180" s="436"/>
      <c r="BV180" s="436"/>
      <c r="BW180" s="436"/>
      <c r="BX180" s="436"/>
      <c r="BY180" s="436"/>
      <c r="BZ180" s="436"/>
      <c r="CA180" s="436"/>
      <c r="CB180" s="436"/>
      <c r="CC180" s="436"/>
      <c r="CD180" s="436"/>
      <c r="CE180" s="437">
        <f>SUM(IF(COLUMN($C180:$CD180)&lt;(3+'2、试卷（期末）'!$B$2),$C180:$CD180,))</f>
        <v>0</v>
      </c>
      <c r="CF180" s="437">
        <f>SUM(IF(COLUMN($C180:$CD180)&lt;(3+SUM('2、试卷（期末）'!$B$2:$B$3)),$C180:$CD180,))-$CE180</f>
        <v>0</v>
      </c>
      <c r="CG180" s="437">
        <f>SUM(IF(COLUMN($C180:$CD180)&lt;(3+SUM('2、试卷（期末）'!$B$2:$B$4)),$C180:$CD180,))-SUM($CE180:$CF180)</f>
        <v>0</v>
      </c>
      <c r="CH180" s="437">
        <f>SUM(IF(COLUMN($C180:$CD180)&lt;(3+SUM('2、试卷（期末）'!$B$2:$B$5)),$C180:$CD180,))-SUM($CE180:$CG180)</f>
        <v>0</v>
      </c>
      <c r="CI180" s="437">
        <f>SUM(IF(COLUMN($C180:$CD180)&lt;(3+SUM('2、试卷（期末）'!$B$2:$B$6)),$C180:$CD180,))-SUM($CE180:$CH180)</f>
        <v>0</v>
      </c>
      <c r="CJ180" s="437">
        <f>SUM(IF(COLUMN($C180:$CD180)&lt;(3+SUM('2、试卷（期末）'!$B$2:$B$7)),$C180:$CD180,))-SUM($CE180:$CI180)</f>
        <v>0</v>
      </c>
      <c r="CK180" s="437">
        <f>SUM(IF(COLUMN($C180:$CD180)&lt;(3+SUM('2、试卷（期末）'!$B$2:$B$8)),$C180:$CD180,))-SUM($CE180:$CJ180)</f>
        <v>0</v>
      </c>
      <c r="CL180" s="437">
        <f>SUM(IF(COLUMN($C180:$CD180)&lt;(3+SUM('2、试卷（期末）'!$B$2:$B$9)),$C180:$CD180,))-SUM($CE180:$CK180)</f>
        <v>0</v>
      </c>
      <c r="CM180" s="437">
        <f>SUM(IF(COLUMN($C180:$CD180)&lt;(3+SUM('2、试卷（期末）'!$B$2:$B$10)),$C180:$CD180,))-SUM($CE180:$CL180)</f>
        <v>0</v>
      </c>
      <c r="CN180" s="437">
        <f>SUM(IF(COLUMN($C180:$CD180)&lt;(3+SUM('2、试卷（期末）'!$B$2:$B$11)),$C180:$CD180,))-SUM($CE180:$CM180)</f>
        <v>0</v>
      </c>
      <c r="CO180" s="437">
        <f t="shared" si="5"/>
        <v>0</v>
      </c>
      <c r="CP180" s="438">
        <f ca="1">ROUND(CO180*'1、课程目标与考核方式'!$H$13/100+IF(ISERROR(VLOOKUP(A180,'4、平时成绩'!$A$2:$H$201,8,FALSE)),0,VLOOKUP(A180,'4、平时成绩'!$A$2:$H$201,8,FALSE)),0)</f>
        <v>0</v>
      </c>
    </row>
    <row r="181" s="32" customFormat="1" spans="1:94">
      <c r="A181" s="443"/>
      <c r="B181" s="443"/>
      <c r="C181" s="436"/>
      <c r="D181" s="436"/>
      <c r="E181" s="436"/>
      <c r="F181" s="436"/>
      <c r="G181" s="436"/>
      <c r="H181" s="436"/>
      <c r="I181" s="436"/>
      <c r="J181" s="436"/>
      <c r="K181" s="436"/>
      <c r="L181" s="436"/>
      <c r="M181" s="436"/>
      <c r="N181" s="436"/>
      <c r="O181" s="436"/>
      <c r="P181" s="436"/>
      <c r="Q181" s="436"/>
      <c r="R181" s="436"/>
      <c r="S181" s="436"/>
      <c r="T181" s="436"/>
      <c r="U181" s="436"/>
      <c r="V181" s="436"/>
      <c r="W181" s="436"/>
      <c r="X181" s="436"/>
      <c r="Y181" s="436"/>
      <c r="Z181" s="436"/>
      <c r="AA181" s="436"/>
      <c r="AB181" s="436"/>
      <c r="AC181" s="436"/>
      <c r="AD181" s="436"/>
      <c r="AE181" s="436"/>
      <c r="AF181" s="436"/>
      <c r="AG181" s="436"/>
      <c r="AH181" s="436"/>
      <c r="AI181" s="436"/>
      <c r="AJ181" s="436"/>
      <c r="AK181" s="436"/>
      <c r="AL181" s="436"/>
      <c r="AM181" s="436"/>
      <c r="AN181" s="436"/>
      <c r="AO181" s="436"/>
      <c r="AP181" s="436"/>
      <c r="AQ181" s="436"/>
      <c r="AR181" s="436"/>
      <c r="AS181" s="436"/>
      <c r="AT181" s="436"/>
      <c r="AU181" s="436"/>
      <c r="AV181" s="436"/>
      <c r="AW181" s="436"/>
      <c r="AX181" s="436"/>
      <c r="AY181" s="436"/>
      <c r="AZ181" s="436"/>
      <c r="BA181" s="436"/>
      <c r="BB181" s="436"/>
      <c r="BC181" s="436"/>
      <c r="BD181" s="436"/>
      <c r="BE181" s="436"/>
      <c r="BF181" s="436"/>
      <c r="BG181" s="436"/>
      <c r="BH181" s="436"/>
      <c r="BI181" s="436"/>
      <c r="BJ181" s="436"/>
      <c r="BK181" s="436"/>
      <c r="BL181" s="436"/>
      <c r="BM181" s="436"/>
      <c r="BN181" s="436"/>
      <c r="BO181" s="436"/>
      <c r="BP181" s="436"/>
      <c r="BQ181" s="436"/>
      <c r="BR181" s="436"/>
      <c r="BS181" s="436"/>
      <c r="BT181" s="436"/>
      <c r="BU181" s="436"/>
      <c r="BV181" s="436"/>
      <c r="BW181" s="436"/>
      <c r="BX181" s="436"/>
      <c r="BY181" s="436"/>
      <c r="BZ181" s="436"/>
      <c r="CA181" s="436"/>
      <c r="CB181" s="436"/>
      <c r="CC181" s="436"/>
      <c r="CD181" s="436"/>
      <c r="CE181" s="437">
        <f>SUM(IF(COLUMN($C181:$CD181)&lt;(3+'2、试卷（期末）'!$B$2),$C181:$CD181,))</f>
        <v>0</v>
      </c>
      <c r="CF181" s="437">
        <f>SUM(IF(COLUMN($C181:$CD181)&lt;(3+SUM('2、试卷（期末）'!$B$2:$B$3)),$C181:$CD181,))-$CE181</f>
        <v>0</v>
      </c>
      <c r="CG181" s="437">
        <f>SUM(IF(COLUMN($C181:$CD181)&lt;(3+SUM('2、试卷（期末）'!$B$2:$B$4)),$C181:$CD181,))-SUM($CE181:$CF181)</f>
        <v>0</v>
      </c>
      <c r="CH181" s="437">
        <f>SUM(IF(COLUMN($C181:$CD181)&lt;(3+SUM('2、试卷（期末）'!$B$2:$B$5)),$C181:$CD181,))-SUM($CE181:$CG181)</f>
        <v>0</v>
      </c>
      <c r="CI181" s="437">
        <f>SUM(IF(COLUMN($C181:$CD181)&lt;(3+SUM('2、试卷（期末）'!$B$2:$B$6)),$C181:$CD181,))-SUM($CE181:$CH181)</f>
        <v>0</v>
      </c>
      <c r="CJ181" s="437">
        <f>SUM(IF(COLUMN($C181:$CD181)&lt;(3+SUM('2、试卷（期末）'!$B$2:$B$7)),$C181:$CD181,))-SUM($CE181:$CI181)</f>
        <v>0</v>
      </c>
      <c r="CK181" s="437">
        <f>SUM(IF(COLUMN($C181:$CD181)&lt;(3+SUM('2、试卷（期末）'!$B$2:$B$8)),$C181:$CD181,))-SUM($CE181:$CJ181)</f>
        <v>0</v>
      </c>
      <c r="CL181" s="437">
        <f>SUM(IF(COLUMN($C181:$CD181)&lt;(3+SUM('2、试卷（期末）'!$B$2:$B$9)),$C181:$CD181,))-SUM($CE181:$CK181)</f>
        <v>0</v>
      </c>
      <c r="CM181" s="437">
        <f>SUM(IF(COLUMN($C181:$CD181)&lt;(3+SUM('2、试卷（期末）'!$B$2:$B$10)),$C181:$CD181,))-SUM($CE181:$CL181)</f>
        <v>0</v>
      </c>
      <c r="CN181" s="437">
        <f>SUM(IF(COLUMN($C181:$CD181)&lt;(3+SUM('2、试卷（期末）'!$B$2:$B$11)),$C181:$CD181,))-SUM($CE181:$CM181)</f>
        <v>0</v>
      </c>
      <c r="CO181" s="437">
        <f t="shared" si="5"/>
        <v>0</v>
      </c>
      <c r="CP181" s="438">
        <f ca="1">ROUND(CO181*'1、课程目标与考核方式'!$H$13/100+IF(ISERROR(VLOOKUP(A181,'4、平时成绩'!$A$2:$H$201,8,FALSE)),0,VLOOKUP(A181,'4、平时成绩'!$A$2:$H$201,8,FALSE)),0)</f>
        <v>0</v>
      </c>
    </row>
    <row r="182" s="32" customFormat="1" spans="1:94">
      <c r="A182" s="443"/>
      <c r="B182" s="443"/>
      <c r="C182" s="436"/>
      <c r="D182" s="436"/>
      <c r="E182" s="436"/>
      <c r="F182" s="436"/>
      <c r="G182" s="436"/>
      <c r="H182" s="436"/>
      <c r="I182" s="436"/>
      <c r="J182" s="436"/>
      <c r="K182" s="436"/>
      <c r="L182" s="436"/>
      <c r="M182" s="436"/>
      <c r="N182" s="436"/>
      <c r="O182" s="436"/>
      <c r="P182" s="436"/>
      <c r="Q182" s="436"/>
      <c r="R182" s="436"/>
      <c r="S182" s="436"/>
      <c r="T182" s="436"/>
      <c r="U182" s="436"/>
      <c r="V182" s="436"/>
      <c r="W182" s="436"/>
      <c r="X182" s="436"/>
      <c r="Y182" s="436"/>
      <c r="Z182" s="436"/>
      <c r="AA182" s="436"/>
      <c r="AB182" s="436"/>
      <c r="AC182" s="436"/>
      <c r="AD182" s="436"/>
      <c r="AE182" s="436"/>
      <c r="AF182" s="436"/>
      <c r="AG182" s="436"/>
      <c r="AH182" s="436"/>
      <c r="AI182" s="436"/>
      <c r="AJ182" s="436"/>
      <c r="AK182" s="436"/>
      <c r="AL182" s="436"/>
      <c r="AM182" s="436"/>
      <c r="AN182" s="436"/>
      <c r="AO182" s="436"/>
      <c r="AP182" s="436"/>
      <c r="AQ182" s="436"/>
      <c r="AR182" s="436"/>
      <c r="AS182" s="436"/>
      <c r="AT182" s="436"/>
      <c r="AU182" s="436"/>
      <c r="AV182" s="436"/>
      <c r="AW182" s="436"/>
      <c r="AX182" s="436"/>
      <c r="AY182" s="436"/>
      <c r="AZ182" s="436"/>
      <c r="BA182" s="436"/>
      <c r="BB182" s="436"/>
      <c r="BC182" s="436"/>
      <c r="BD182" s="436"/>
      <c r="BE182" s="436"/>
      <c r="BF182" s="436"/>
      <c r="BG182" s="436"/>
      <c r="BH182" s="436"/>
      <c r="BI182" s="436"/>
      <c r="BJ182" s="436"/>
      <c r="BK182" s="436"/>
      <c r="BL182" s="436"/>
      <c r="BM182" s="436"/>
      <c r="BN182" s="436"/>
      <c r="BO182" s="436"/>
      <c r="BP182" s="436"/>
      <c r="BQ182" s="436"/>
      <c r="BR182" s="436"/>
      <c r="BS182" s="436"/>
      <c r="BT182" s="436"/>
      <c r="BU182" s="436"/>
      <c r="BV182" s="436"/>
      <c r="BW182" s="436"/>
      <c r="BX182" s="436"/>
      <c r="BY182" s="436"/>
      <c r="BZ182" s="436"/>
      <c r="CA182" s="436"/>
      <c r="CB182" s="436"/>
      <c r="CC182" s="436"/>
      <c r="CD182" s="436"/>
      <c r="CE182" s="437">
        <f>SUM(IF(COLUMN($C182:$CD182)&lt;(3+'2、试卷（期末）'!$B$2),$C182:$CD182,))</f>
        <v>0</v>
      </c>
      <c r="CF182" s="437">
        <f>SUM(IF(COLUMN($C182:$CD182)&lt;(3+SUM('2、试卷（期末）'!$B$2:$B$3)),$C182:$CD182,))-$CE182</f>
        <v>0</v>
      </c>
      <c r="CG182" s="437">
        <f>SUM(IF(COLUMN($C182:$CD182)&lt;(3+SUM('2、试卷（期末）'!$B$2:$B$4)),$C182:$CD182,))-SUM($CE182:$CF182)</f>
        <v>0</v>
      </c>
      <c r="CH182" s="437">
        <f>SUM(IF(COLUMN($C182:$CD182)&lt;(3+SUM('2、试卷（期末）'!$B$2:$B$5)),$C182:$CD182,))-SUM($CE182:$CG182)</f>
        <v>0</v>
      </c>
      <c r="CI182" s="437">
        <f>SUM(IF(COLUMN($C182:$CD182)&lt;(3+SUM('2、试卷（期末）'!$B$2:$B$6)),$C182:$CD182,))-SUM($CE182:$CH182)</f>
        <v>0</v>
      </c>
      <c r="CJ182" s="437">
        <f>SUM(IF(COLUMN($C182:$CD182)&lt;(3+SUM('2、试卷（期末）'!$B$2:$B$7)),$C182:$CD182,))-SUM($CE182:$CI182)</f>
        <v>0</v>
      </c>
      <c r="CK182" s="437">
        <f>SUM(IF(COLUMN($C182:$CD182)&lt;(3+SUM('2、试卷（期末）'!$B$2:$B$8)),$C182:$CD182,))-SUM($CE182:$CJ182)</f>
        <v>0</v>
      </c>
      <c r="CL182" s="437">
        <f>SUM(IF(COLUMN($C182:$CD182)&lt;(3+SUM('2、试卷（期末）'!$B$2:$B$9)),$C182:$CD182,))-SUM($CE182:$CK182)</f>
        <v>0</v>
      </c>
      <c r="CM182" s="437">
        <f>SUM(IF(COLUMN($C182:$CD182)&lt;(3+SUM('2、试卷（期末）'!$B$2:$B$10)),$C182:$CD182,))-SUM($CE182:$CL182)</f>
        <v>0</v>
      </c>
      <c r="CN182" s="437">
        <f>SUM(IF(COLUMN($C182:$CD182)&lt;(3+SUM('2、试卷（期末）'!$B$2:$B$11)),$C182:$CD182,))-SUM($CE182:$CM182)</f>
        <v>0</v>
      </c>
      <c r="CO182" s="437">
        <f t="shared" si="5"/>
        <v>0</v>
      </c>
      <c r="CP182" s="438">
        <f ca="1">ROUND(CO182*'1、课程目标与考核方式'!$H$13/100+IF(ISERROR(VLOOKUP(A182,'4、平时成绩'!$A$2:$H$201,8,FALSE)),0,VLOOKUP(A182,'4、平时成绩'!$A$2:$H$201,8,FALSE)),0)</f>
        <v>0</v>
      </c>
    </row>
    <row r="183" s="32" customFormat="1" spans="1:94">
      <c r="A183" s="443"/>
      <c r="B183" s="443"/>
      <c r="C183" s="436"/>
      <c r="D183" s="436"/>
      <c r="E183" s="436"/>
      <c r="F183" s="436"/>
      <c r="G183" s="436"/>
      <c r="H183" s="436"/>
      <c r="I183" s="436"/>
      <c r="J183" s="436"/>
      <c r="K183" s="436"/>
      <c r="L183" s="436"/>
      <c r="M183" s="436"/>
      <c r="N183" s="436"/>
      <c r="O183" s="436"/>
      <c r="P183" s="436"/>
      <c r="Q183" s="436"/>
      <c r="R183" s="436"/>
      <c r="S183" s="436"/>
      <c r="T183" s="436"/>
      <c r="U183" s="436"/>
      <c r="V183" s="436"/>
      <c r="W183" s="436"/>
      <c r="X183" s="436"/>
      <c r="Y183" s="436"/>
      <c r="Z183" s="436"/>
      <c r="AA183" s="436"/>
      <c r="AB183" s="436"/>
      <c r="AC183" s="436"/>
      <c r="AD183" s="436"/>
      <c r="AE183" s="436"/>
      <c r="AF183" s="436"/>
      <c r="AG183" s="436"/>
      <c r="AH183" s="436"/>
      <c r="AI183" s="436"/>
      <c r="AJ183" s="436"/>
      <c r="AK183" s="436"/>
      <c r="AL183" s="436"/>
      <c r="AM183" s="436"/>
      <c r="AN183" s="436"/>
      <c r="AO183" s="436"/>
      <c r="AP183" s="436"/>
      <c r="AQ183" s="436"/>
      <c r="AR183" s="436"/>
      <c r="AS183" s="436"/>
      <c r="AT183" s="436"/>
      <c r="AU183" s="436"/>
      <c r="AV183" s="436"/>
      <c r="AW183" s="436"/>
      <c r="AX183" s="436"/>
      <c r="AY183" s="436"/>
      <c r="AZ183" s="436"/>
      <c r="BA183" s="436"/>
      <c r="BB183" s="436"/>
      <c r="BC183" s="436"/>
      <c r="BD183" s="436"/>
      <c r="BE183" s="436"/>
      <c r="BF183" s="436"/>
      <c r="BG183" s="436"/>
      <c r="BH183" s="436"/>
      <c r="BI183" s="436"/>
      <c r="BJ183" s="436"/>
      <c r="BK183" s="436"/>
      <c r="BL183" s="436"/>
      <c r="BM183" s="436"/>
      <c r="BN183" s="436"/>
      <c r="BO183" s="436"/>
      <c r="BP183" s="436"/>
      <c r="BQ183" s="436"/>
      <c r="BR183" s="436"/>
      <c r="BS183" s="436"/>
      <c r="BT183" s="436"/>
      <c r="BU183" s="436"/>
      <c r="BV183" s="436"/>
      <c r="BW183" s="436"/>
      <c r="BX183" s="436"/>
      <c r="BY183" s="436"/>
      <c r="BZ183" s="436"/>
      <c r="CA183" s="436"/>
      <c r="CB183" s="436"/>
      <c r="CC183" s="436"/>
      <c r="CD183" s="436"/>
      <c r="CE183" s="437">
        <f>SUM(IF(COLUMN($C183:$CD183)&lt;(3+'2、试卷（期末）'!$B$2),$C183:$CD183,))</f>
        <v>0</v>
      </c>
      <c r="CF183" s="437">
        <f>SUM(IF(COLUMN($C183:$CD183)&lt;(3+SUM('2、试卷（期末）'!$B$2:$B$3)),$C183:$CD183,))-$CE183</f>
        <v>0</v>
      </c>
      <c r="CG183" s="437">
        <f>SUM(IF(COLUMN($C183:$CD183)&lt;(3+SUM('2、试卷（期末）'!$B$2:$B$4)),$C183:$CD183,))-SUM($CE183:$CF183)</f>
        <v>0</v>
      </c>
      <c r="CH183" s="437">
        <f>SUM(IF(COLUMN($C183:$CD183)&lt;(3+SUM('2、试卷（期末）'!$B$2:$B$5)),$C183:$CD183,))-SUM($CE183:$CG183)</f>
        <v>0</v>
      </c>
      <c r="CI183" s="437">
        <f>SUM(IF(COLUMN($C183:$CD183)&lt;(3+SUM('2、试卷（期末）'!$B$2:$B$6)),$C183:$CD183,))-SUM($CE183:$CH183)</f>
        <v>0</v>
      </c>
      <c r="CJ183" s="437">
        <f>SUM(IF(COLUMN($C183:$CD183)&lt;(3+SUM('2、试卷（期末）'!$B$2:$B$7)),$C183:$CD183,))-SUM($CE183:$CI183)</f>
        <v>0</v>
      </c>
      <c r="CK183" s="437">
        <f>SUM(IF(COLUMN($C183:$CD183)&lt;(3+SUM('2、试卷（期末）'!$B$2:$B$8)),$C183:$CD183,))-SUM($CE183:$CJ183)</f>
        <v>0</v>
      </c>
      <c r="CL183" s="437">
        <f>SUM(IF(COLUMN($C183:$CD183)&lt;(3+SUM('2、试卷（期末）'!$B$2:$B$9)),$C183:$CD183,))-SUM($CE183:$CK183)</f>
        <v>0</v>
      </c>
      <c r="CM183" s="437">
        <f>SUM(IF(COLUMN($C183:$CD183)&lt;(3+SUM('2、试卷（期末）'!$B$2:$B$10)),$C183:$CD183,))-SUM($CE183:$CL183)</f>
        <v>0</v>
      </c>
      <c r="CN183" s="437">
        <f>SUM(IF(COLUMN($C183:$CD183)&lt;(3+SUM('2、试卷（期末）'!$B$2:$B$11)),$C183:$CD183,))-SUM($CE183:$CM183)</f>
        <v>0</v>
      </c>
      <c r="CO183" s="437">
        <f t="shared" si="5"/>
        <v>0</v>
      </c>
      <c r="CP183" s="438">
        <f ca="1">ROUND(CO183*'1、课程目标与考核方式'!$H$13/100+IF(ISERROR(VLOOKUP(A183,'4、平时成绩'!$A$2:$H$201,8,FALSE)),0,VLOOKUP(A183,'4、平时成绩'!$A$2:$H$201,8,FALSE)),0)</f>
        <v>0</v>
      </c>
    </row>
    <row r="184" s="32" customFormat="1" spans="1:94">
      <c r="A184" s="443"/>
      <c r="B184" s="443"/>
      <c r="C184" s="436"/>
      <c r="D184" s="436"/>
      <c r="E184" s="436"/>
      <c r="F184" s="436"/>
      <c r="G184" s="436"/>
      <c r="H184" s="436"/>
      <c r="I184" s="436"/>
      <c r="J184" s="436"/>
      <c r="K184" s="436"/>
      <c r="L184" s="436"/>
      <c r="M184" s="436"/>
      <c r="N184" s="436"/>
      <c r="O184" s="436"/>
      <c r="P184" s="436"/>
      <c r="Q184" s="436"/>
      <c r="R184" s="436"/>
      <c r="S184" s="436"/>
      <c r="T184" s="436"/>
      <c r="U184" s="436"/>
      <c r="V184" s="436"/>
      <c r="W184" s="436"/>
      <c r="X184" s="436"/>
      <c r="Y184" s="436"/>
      <c r="Z184" s="436"/>
      <c r="AA184" s="436"/>
      <c r="AB184" s="436"/>
      <c r="AC184" s="436"/>
      <c r="AD184" s="436"/>
      <c r="AE184" s="436"/>
      <c r="AF184" s="436"/>
      <c r="AG184" s="436"/>
      <c r="AH184" s="436"/>
      <c r="AI184" s="436"/>
      <c r="AJ184" s="436"/>
      <c r="AK184" s="436"/>
      <c r="AL184" s="436"/>
      <c r="AM184" s="436"/>
      <c r="AN184" s="436"/>
      <c r="AO184" s="436"/>
      <c r="AP184" s="436"/>
      <c r="AQ184" s="436"/>
      <c r="AR184" s="436"/>
      <c r="AS184" s="436"/>
      <c r="AT184" s="436"/>
      <c r="AU184" s="436"/>
      <c r="AV184" s="436"/>
      <c r="AW184" s="436"/>
      <c r="AX184" s="436"/>
      <c r="AY184" s="436"/>
      <c r="AZ184" s="436"/>
      <c r="BA184" s="436"/>
      <c r="BB184" s="436"/>
      <c r="BC184" s="436"/>
      <c r="BD184" s="436"/>
      <c r="BE184" s="436"/>
      <c r="BF184" s="436"/>
      <c r="BG184" s="436"/>
      <c r="BH184" s="436"/>
      <c r="BI184" s="436"/>
      <c r="BJ184" s="436"/>
      <c r="BK184" s="436"/>
      <c r="BL184" s="436"/>
      <c r="BM184" s="436"/>
      <c r="BN184" s="436"/>
      <c r="BO184" s="436"/>
      <c r="BP184" s="436"/>
      <c r="BQ184" s="436"/>
      <c r="BR184" s="436"/>
      <c r="BS184" s="436"/>
      <c r="BT184" s="436"/>
      <c r="BU184" s="436"/>
      <c r="BV184" s="436"/>
      <c r="BW184" s="436"/>
      <c r="BX184" s="436"/>
      <c r="BY184" s="436"/>
      <c r="BZ184" s="436"/>
      <c r="CA184" s="436"/>
      <c r="CB184" s="436"/>
      <c r="CC184" s="436"/>
      <c r="CD184" s="436"/>
      <c r="CE184" s="437">
        <f>SUM(IF(COLUMN($C184:$CD184)&lt;(3+'2、试卷（期末）'!$B$2),$C184:$CD184,))</f>
        <v>0</v>
      </c>
      <c r="CF184" s="437">
        <f>SUM(IF(COLUMN($C184:$CD184)&lt;(3+SUM('2、试卷（期末）'!$B$2:$B$3)),$C184:$CD184,))-$CE184</f>
        <v>0</v>
      </c>
      <c r="CG184" s="437">
        <f>SUM(IF(COLUMN($C184:$CD184)&lt;(3+SUM('2、试卷（期末）'!$B$2:$B$4)),$C184:$CD184,))-SUM($CE184:$CF184)</f>
        <v>0</v>
      </c>
      <c r="CH184" s="437">
        <f>SUM(IF(COLUMN($C184:$CD184)&lt;(3+SUM('2、试卷（期末）'!$B$2:$B$5)),$C184:$CD184,))-SUM($CE184:$CG184)</f>
        <v>0</v>
      </c>
      <c r="CI184" s="437">
        <f>SUM(IF(COLUMN($C184:$CD184)&lt;(3+SUM('2、试卷（期末）'!$B$2:$B$6)),$C184:$CD184,))-SUM($CE184:$CH184)</f>
        <v>0</v>
      </c>
      <c r="CJ184" s="437">
        <f>SUM(IF(COLUMN($C184:$CD184)&lt;(3+SUM('2、试卷（期末）'!$B$2:$B$7)),$C184:$CD184,))-SUM($CE184:$CI184)</f>
        <v>0</v>
      </c>
      <c r="CK184" s="437">
        <f>SUM(IF(COLUMN($C184:$CD184)&lt;(3+SUM('2、试卷（期末）'!$B$2:$B$8)),$C184:$CD184,))-SUM($CE184:$CJ184)</f>
        <v>0</v>
      </c>
      <c r="CL184" s="437">
        <f>SUM(IF(COLUMN($C184:$CD184)&lt;(3+SUM('2、试卷（期末）'!$B$2:$B$9)),$C184:$CD184,))-SUM($CE184:$CK184)</f>
        <v>0</v>
      </c>
      <c r="CM184" s="437">
        <f>SUM(IF(COLUMN($C184:$CD184)&lt;(3+SUM('2、试卷（期末）'!$B$2:$B$10)),$C184:$CD184,))-SUM($CE184:$CL184)</f>
        <v>0</v>
      </c>
      <c r="CN184" s="437">
        <f>SUM(IF(COLUMN($C184:$CD184)&lt;(3+SUM('2、试卷（期末）'!$B$2:$B$11)),$C184:$CD184,))-SUM($CE184:$CM184)</f>
        <v>0</v>
      </c>
      <c r="CO184" s="437">
        <f t="shared" si="5"/>
        <v>0</v>
      </c>
      <c r="CP184" s="438">
        <f ca="1">ROUND(CO184*'1、课程目标与考核方式'!$H$13/100+IF(ISERROR(VLOOKUP(A184,'4、平时成绩'!$A$2:$H$201,8,FALSE)),0,VLOOKUP(A184,'4、平时成绩'!$A$2:$H$201,8,FALSE)),0)</f>
        <v>0</v>
      </c>
    </row>
    <row r="185" s="32" customFormat="1" spans="1:94">
      <c r="A185" s="443"/>
      <c r="B185" s="443"/>
      <c r="C185" s="436"/>
      <c r="D185" s="436"/>
      <c r="E185" s="436"/>
      <c r="F185" s="436"/>
      <c r="G185" s="436"/>
      <c r="H185" s="436"/>
      <c r="I185" s="436"/>
      <c r="J185" s="436"/>
      <c r="K185" s="436"/>
      <c r="L185" s="436"/>
      <c r="M185" s="436"/>
      <c r="N185" s="436"/>
      <c r="O185" s="436"/>
      <c r="P185" s="436"/>
      <c r="Q185" s="436"/>
      <c r="R185" s="436"/>
      <c r="S185" s="436"/>
      <c r="T185" s="436"/>
      <c r="U185" s="436"/>
      <c r="V185" s="436"/>
      <c r="W185" s="436"/>
      <c r="X185" s="436"/>
      <c r="Y185" s="436"/>
      <c r="Z185" s="436"/>
      <c r="AA185" s="436"/>
      <c r="AB185" s="436"/>
      <c r="AC185" s="436"/>
      <c r="AD185" s="436"/>
      <c r="AE185" s="436"/>
      <c r="AF185" s="436"/>
      <c r="AG185" s="436"/>
      <c r="AH185" s="436"/>
      <c r="AI185" s="436"/>
      <c r="AJ185" s="436"/>
      <c r="AK185" s="436"/>
      <c r="AL185" s="436"/>
      <c r="AM185" s="436"/>
      <c r="AN185" s="436"/>
      <c r="AO185" s="436"/>
      <c r="AP185" s="436"/>
      <c r="AQ185" s="436"/>
      <c r="AR185" s="436"/>
      <c r="AS185" s="436"/>
      <c r="AT185" s="436"/>
      <c r="AU185" s="436"/>
      <c r="AV185" s="436"/>
      <c r="AW185" s="436"/>
      <c r="AX185" s="436"/>
      <c r="AY185" s="436"/>
      <c r="AZ185" s="436"/>
      <c r="BA185" s="436"/>
      <c r="BB185" s="436"/>
      <c r="BC185" s="436"/>
      <c r="BD185" s="436"/>
      <c r="BE185" s="436"/>
      <c r="BF185" s="436"/>
      <c r="BG185" s="436"/>
      <c r="BH185" s="436"/>
      <c r="BI185" s="436"/>
      <c r="BJ185" s="436"/>
      <c r="BK185" s="436"/>
      <c r="BL185" s="436"/>
      <c r="BM185" s="436"/>
      <c r="BN185" s="436"/>
      <c r="BO185" s="436"/>
      <c r="BP185" s="436"/>
      <c r="BQ185" s="436"/>
      <c r="BR185" s="436"/>
      <c r="BS185" s="436"/>
      <c r="BT185" s="436"/>
      <c r="BU185" s="436"/>
      <c r="BV185" s="436"/>
      <c r="BW185" s="436"/>
      <c r="BX185" s="436"/>
      <c r="BY185" s="436"/>
      <c r="BZ185" s="436"/>
      <c r="CA185" s="436"/>
      <c r="CB185" s="436"/>
      <c r="CC185" s="436"/>
      <c r="CD185" s="436"/>
      <c r="CE185" s="437">
        <f>SUM(IF(COLUMN($C185:$CD185)&lt;(3+'2、试卷（期末）'!$B$2),$C185:$CD185,))</f>
        <v>0</v>
      </c>
      <c r="CF185" s="437">
        <f>SUM(IF(COLUMN($C185:$CD185)&lt;(3+SUM('2、试卷（期末）'!$B$2:$B$3)),$C185:$CD185,))-$CE185</f>
        <v>0</v>
      </c>
      <c r="CG185" s="437">
        <f>SUM(IF(COLUMN($C185:$CD185)&lt;(3+SUM('2、试卷（期末）'!$B$2:$B$4)),$C185:$CD185,))-SUM($CE185:$CF185)</f>
        <v>0</v>
      </c>
      <c r="CH185" s="437">
        <f>SUM(IF(COLUMN($C185:$CD185)&lt;(3+SUM('2、试卷（期末）'!$B$2:$B$5)),$C185:$CD185,))-SUM($CE185:$CG185)</f>
        <v>0</v>
      </c>
      <c r="CI185" s="437">
        <f>SUM(IF(COLUMN($C185:$CD185)&lt;(3+SUM('2、试卷（期末）'!$B$2:$B$6)),$C185:$CD185,))-SUM($CE185:$CH185)</f>
        <v>0</v>
      </c>
      <c r="CJ185" s="437">
        <f>SUM(IF(COLUMN($C185:$CD185)&lt;(3+SUM('2、试卷（期末）'!$B$2:$B$7)),$C185:$CD185,))-SUM($CE185:$CI185)</f>
        <v>0</v>
      </c>
      <c r="CK185" s="437">
        <f>SUM(IF(COLUMN($C185:$CD185)&lt;(3+SUM('2、试卷（期末）'!$B$2:$B$8)),$C185:$CD185,))-SUM($CE185:$CJ185)</f>
        <v>0</v>
      </c>
      <c r="CL185" s="437">
        <f>SUM(IF(COLUMN($C185:$CD185)&lt;(3+SUM('2、试卷（期末）'!$B$2:$B$9)),$C185:$CD185,))-SUM($CE185:$CK185)</f>
        <v>0</v>
      </c>
      <c r="CM185" s="437">
        <f>SUM(IF(COLUMN($C185:$CD185)&lt;(3+SUM('2、试卷（期末）'!$B$2:$B$10)),$C185:$CD185,))-SUM($CE185:$CL185)</f>
        <v>0</v>
      </c>
      <c r="CN185" s="437">
        <f>SUM(IF(COLUMN($C185:$CD185)&lt;(3+SUM('2、试卷（期末）'!$B$2:$B$11)),$C185:$CD185,))-SUM($CE185:$CM185)</f>
        <v>0</v>
      </c>
      <c r="CO185" s="437">
        <f t="shared" si="5"/>
        <v>0</v>
      </c>
      <c r="CP185" s="438">
        <f ca="1">ROUND(CO185*'1、课程目标与考核方式'!$H$13/100+IF(ISERROR(VLOOKUP(A185,'4、平时成绩'!$A$2:$H$201,8,FALSE)),0,VLOOKUP(A185,'4、平时成绩'!$A$2:$H$201,8,FALSE)),0)</f>
        <v>0</v>
      </c>
    </row>
    <row r="186" s="32" customFormat="1" spans="1:94">
      <c r="A186" s="443"/>
      <c r="B186" s="443"/>
      <c r="C186" s="436"/>
      <c r="D186" s="436"/>
      <c r="E186" s="436"/>
      <c r="F186" s="436"/>
      <c r="G186" s="436"/>
      <c r="H186" s="436"/>
      <c r="I186" s="436"/>
      <c r="J186" s="436"/>
      <c r="K186" s="436"/>
      <c r="L186" s="436"/>
      <c r="M186" s="436"/>
      <c r="N186" s="436"/>
      <c r="O186" s="436"/>
      <c r="P186" s="436"/>
      <c r="Q186" s="436"/>
      <c r="R186" s="436"/>
      <c r="S186" s="436"/>
      <c r="T186" s="436"/>
      <c r="U186" s="436"/>
      <c r="V186" s="436"/>
      <c r="W186" s="436"/>
      <c r="X186" s="436"/>
      <c r="Y186" s="436"/>
      <c r="Z186" s="436"/>
      <c r="AA186" s="436"/>
      <c r="AB186" s="436"/>
      <c r="AC186" s="436"/>
      <c r="AD186" s="436"/>
      <c r="AE186" s="436"/>
      <c r="AF186" s="436"/>
      <c r="AG186" s="436"/>
      <c r="AH186" s="436"/>
      <c r="AI186" s="436"/>
      <c r="AJ186" s="436"/>
      <c r="AK186" s="436"/>
      <c r="AL186" s="436"/>
      <c r="AM186" s="436"/>
      <c r="AN186" s="436"/>
      <c r="AO186" s="436"/>
      <c r="AP186" s="436"/>
      <c r="AQ186" s="436"/>
      <c r="AR186" s="436"/>
      <c r="AS186" s="436"/>
      <c r="AT186" s="436"/>
      <c r="AU186" s="436"/>
      <c r="AV186" s="436"/>
      <c r="AW186" s="436"/>
      <c r="AX186" s="436"/>
      <c r="AY186" s="436"/>
      <c r="AZ186" s="436"/>
      <c r="BA186" s="436"/>
      <c r="BB186" s="436"/>
      <c r="BC186" s="436"/>
      <c r="BD186" s="436"/>
      <c r="BE186" s="436"/>
      <c r="BF186" s="436"/>
      <c r="BG186" s="436"/>
      <c r="BH186" s="436"/>
      <c r="BI186" s="436"/>
      <c r="BJ186" s="436"/>
      <c r="BK186" s="436"/>
      <c r="BL186" s="436"/>
      <c r="BM186" s="436"/>
      <c r="BN186" s="436"/>
      <c r="BO186" s="436"/>
      <c r="BP186" s="436"/>
      <c r="BQ186" s="436"/>
      <c r="BR186" s="436"/>
      <c r="BS186" s="436"/>
      <c r="BT186" s="436"/>
      <c r="BU186" s="436"/>
      <c r="BV186" s="436"/>
      <c r="BW186" s="436"/>
      <c r="BX186" s="436"/>
      <c r="BY186" s="436"/>
      <c r="BZ186" s="436"/>
      <c r="CA186" s="436"/>
      <c r="CB186" s="436"/>
      <c r="CC186" s="436"/>
      <c r="CD186" s="436"/>
      <c r="CE186" s="437">
        <f>SUM(IF(COLUMN($C186:$CD186)&lt;(3+'2、试卷（期末）'!$B$2),$C186:$CD186,))</f>
        <v>0</v>
      </c>
      <c r="CF186" s="437">
        <f>SUM(IF(COLUMN($C186:$CD186)&lt;(3+SUM('2、试卷（期末）'!$B$2:$B$3)),$C186:$CD186,))-$CE186</f>
        <v>0</v>
      </c>
      <c r="CG186" s="437">
        <f>SUM(IF(COLUMN($C186:$CD186)&lt;(3+SUM('2、试卷（期末）'!$B$2:$B$4)),$C186:$CD186,))-SUM($CE186:$CF186)</f>
        <v>0</v>
      </c>
      <c r="CH186" s="437">
        <f>SUM(IF(COLUMN($C186:$CD186)&lt;(3+SUM('2、试卷（期末）'!$B$2:$B$5)),$C186:$CD186,))-SUM($CE186:$CG186)</f>
        <v>0</v>
      </c>
      <c r="CI186" s="437">
        <f>SUM(IF(COLUMN($C186:$CD186)&lt;(3+SUM('2、试卷（期末）'!$B$2:$B$6)),$C186:$CD186,))-SUM($CE186:$CH186)</f>
        <v>0</v>
      </c>
      <c r="CJ186" s="437">
        <f>SUM(IF(COLUMN($C186:$CD186)&lt;(3+SUM('2、试卷（期末）'!$B$2:$B$7)),$C186:$CD186,))-SUM($CE186:$CI186)</f>
        <v>0</v>
      </c>
      <c r="CK186" s="437">
        <f>SUM(IF(COLUMN($C186:$CD186)&lt;(3+SUM('2、试卷（期末）'!$B$2:$B$8)),$C186:$CD186,))-SUM($CE186:$CJ186)</f>
        <v>0</v>
      </c>
      <c r="CL186" s="437">
        <f>SUM(IF(COLUMN($C186:$CD186)&lt;(3+SUM('2、试卷（期末）'!$B$2:$B$9)),$C186:$CD186,))-SUM($CE186:$CK186)</f>
        <v>0</v>
      </c>
      <c r="CM186" s="437">
        <f>SUM(IF(COLUMN($C186:$CD186)&lt;(3+SUM('2、试卷（期末）'!$B$2:$B$10)),$C186:$CD186,))-SUM($CE186:$CL186)</f>
        <v>0</v>
      </c>
      <c r="CN186" s="437">
        <f>SUM(IF(COLUMN($C186:$CD186)&lt;(3+SUM('2、试卷（期末）'!$B$2:$B$11)),$C186:$CD186,))-SUM($CE186:$CM186)</f>
        <v>0</v>
      </c>
      <c r="CO186" s="437">
        <f t="shared" si="5"/>
        <v>0</v>
      </c>
      <c r="CP186" s="438">
        <f ca="1">ROUND(CO186*'1、课程目标与考核方式'!$H$13/100+IF(ISERROR(VLOOKUP(A186,'4、平时成绩'!$A$2:$H$201,8,FALSE)),0,VLOOKUP(A186,'4、平时成绩'!$A$2:$H$201,8,FALSE)),0)</f>
        <v>0</v>
      </c>
    </row>
    <row r="187" s="32" customFormat="1" spans="1:94">
      <c r="A187" s="443"/>
      <c r="B187" s="443"/>
      <c r="C187" s="436"/>
      <c r="D187" s="436"/>
      <c r="E187" s="436"/>
      <c r="F187" s="436"/>
      <c r="G187" s="436"/>
      <c r="H187" s="436"/>
      <c r="I187" s="436"/>
      <c r="J187" s="436"/>
      <c r="K187" s="436"/>
      <c r="L187" s="436"/>
      <c r="M187" s="436"/>
      <c r="N187" s="436"/>
      <c r="O187" s="436"/>
      <c r="P187" s="436"/>
      <c r="Q187" s="436"/>
      <c r="R187" s="436"/>
      <c r="S187" s="436"/>
      <c r="T187" s="436"/>
      <c r="U187" s="436"/>
      <c r="V187" s="436"/>
      <c r="W187" s="436"/>
      <c r="X187" s="436"/>
      <c r="Y187" s="436"/>
      <c r="Z187" s="436"/>
      <c r="AA187" s="436"/>
      <c r="AB187" s="436"/>
      <c r="AC187" s="436"/>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6"/>
      <c r="AY187" s="436"/>
      <c r="AZ187" s="436"/>
      <c r="BA187" s="436"/>
      <c r="BB187" s="436"/>
      <c r="BC187" s="436"/>
      <c r="BD187" s="436"/>
      <c r="BE187" s="436"/>
      <c r="BF187" s="436"/>
      <c r="BG187" s="436"/>
      <c r="BH187" s="436"/>
      <c r="BI187" s="436"/>
      <c r="BJ187" s="436"/>
      <c r="BK187" s="436"/>
      <c r="BL187" s="436"/>
      <c r="BM187" s="436"/>
      <c r="BN187" s="436"/>
      <c r="BO187" s="436"/>
      <c r="BP187" s="436"/>
      <c r="BQ187" s="436"/>
      <c r="BR187" s="436"/>
      <c r="BS187" s="436"/>
      <c r="BT187" s="436"/>
      <c r="BU187" s="436"/>
      <c r="BV187" s="436"/>
      <c r="BW187" s="436"/>
      <c r="BX187" s="436"/>
      <c r="BY187" s="436"/>
      <c r="BZ187" s="436"/>
      <c r="CA187" s="436"/>
      <c r="CB187" s="436"/>
      <c r="CC187" s="436"/>
      <c r="CD187" s="436"/>
      <c r="CE187" s="437">
        <f>SUM(IF(COLUMN($C187:$CD187)&lt;(3+'2、试卷（期末）'!$B$2),$C187:$CD187,))</f>
        <v>0</v>
      </c>
      <c r="CF187" s="437">
        <f>SUM(IF(COLUMN($C187:$CD187)&lt;(3+SUM('2、试卷（期末）'!$B$2:$B$3)),$C187:$CD187,))-$CE187</f>
        <v>0</v>
      </c>
      <c r="CG187" s="437">
        <f>SUM(IF(COLUMN($C187:$CD187)&lt;(3+SUM('2、试卷（期末）'!$B$2:$B$4)),$C187:$CD187,))-SUM($CE187:$CF187)</f>
        <v>0</v>
      </c>
      <c r="CH187" s="437">
        <f>SUM(IF(COLUMN($C187:$CD187)&lt;(3+SUM('2、试卷（期末）'!$B$2:$B$5)),$C187:$CD187,))-SUM($CE187:$CG187)</f>
        <v>0</v>
      </c>
      <c r="CI187" s="437">
        <f>SUM(IF(COLUMN($C187:$CD187)&lt;(3+SUM('2、试卷（期末）'!$B$2:$B$6)),$C187:$CD187,))-SUM($CE187:$CH187)</f>
        <v>0</v>
      </c>
      <c r="CJ187" s="437">
        <f>SUM(IF(COLUMN($C187:$CD187)&lt;(3+SUM('2、试卷（期末）'!$B$2:$B$7)),$C187:$CD187,))-SUM($CE187:$CI187)</f>
        <v>0</v>
      </c>
      <c r="CK187" s="437">
        <f>SUM(IF(COLUMN($C187:$CD187)&lt;(3+SUM('2、试卷（期末）'!$B$2:$B$8)),$C187:$CD187,))-SUM($CE187:$CJ187)</f>
        <v>0</v>
      </c>
      <c r="CL187" s="437">
        <f>SUM(IF(COLUMN($C187:$CD187)&lt;(3+SUM('2、试卷（期末）'!$B$2:$B$9)),$C187:$CD187,))-SUM($CE187:$CK187)</f>
        <v>0</v>
      </c>
      <c r="CM187" s="437">
        <f>SUM(IF(COLUMN($C187:$CD187)&lt;(3+SUM('2、试卷（期末）'!$B$2:$B$10)),$C187:$CD187,))-SUM($CE187:$CL187)</f>
        <v>0</v>
      </c>
      <c r="CN187" s="437">
        <f>SUM(IF(COLUMN($C187:$CD187)&lt;(3+SUM('2、试卷（期末）'!$B$2:$B$11)),$C187:$CD187,))-SUM($CE187:$CM187)</f>
        <v>0</v>
      </c>
      <c r="CO187" s="437">
        <f t="shared" si="5"/>
        <v>0</v>
      </c>
      <c r="CP187" s="438">
        <f ca="1">ROUND(CO187*'1、课程目标与考核方式'!$H$13/100+IF(ISERROR(VLOOKUP(A187,'4、平时成绩'!$A$2:$H$201,8,FALSE)),0,VLOOKUP(A187,'4、平时成绩'!$A$2:$H$201,8,FALSE)),0)</f>
        <v>0</v>
      </c>
    </row>
    <row r="188" s="32" customFormat="1" spans="1:94">
      <c r="A188" s="443"/>
      <c r="B188" s="443"/>
      <c r="C188" s="436"/>
      <c r="D188" s="436"/>
      <c r="E188" s="436"/>
      <c r="F188" s="436"/>
      <c r="G188" s="436"/>
      <c r="H188" s="436"/>
      <c r="I188" s="436"/>
      <c r="J188" s="436"/>
      <c r="K188" s="436"/>
      <c r="L188" s="436"/>
      <c r="M188" s="436"/>
      <c r="N188" s="436"/>
      <c r="O188" s="436"/>
      <c r="P188" s="436"/>
      <c r="Q188" s="436"/>
      <c r="R188" s="436"/>
      <c r="S188" s="436"/>
      <c r="T188" s="436"/>
      <c r="U188" s="436"/>
      <c r="V188" s="436"/>
      <c r="W188" s="436"/>
      <c r="X188" s="436"/>
      <c r="Y188" s="436"/>
      <c r="Z188" s="436"/>
      <c r="AA188" s="436"/>
      <c r="AB188" s="436"/>
      <c r="AC188" s="436"/>
      <c r="AD188" s="436"/>
      <c r="AE188" s="436"/>
      <c r="AF188" s="436"/>
      <c r="AG188" s="436"/>
      <c r="AH188" s="436"/>
      <c r="AI188" s="436"/>
      <c r="AJ188" s="436"/>
      <c r="AK188" s="436"/>
      <c r="AL188" s="436"/>
      <c r="AM188" s="436"/>
      <c r="AN188" s="436"/>
      <c r="AO188" s="436"/>
      <c r="AP188" s="436"/>
      <c r="AQ188" s="436"/>
      <c r="AR188" s="436"/>
      <c r="AS188" s="436"/>
      <c r="AT188" s="436"/>
      <c r="AU188" s="436"/>
      <c r="AV188" s="436"/>
      <c r="AW188" s="436"/>
      <c r="AX188" s="436"/>
      <c r="AY188" s="436"/>
      <c r="AZ188" s="436"/>
      <c r="BA188" s="436"/>
      <c r="BB188" s="436"/>
      <c r="BC188" s="436"/>
      <c r="BD188" s="436"/>
      <c r="BE188" s="436"/>
      <c r="BF188" s="436"/>
      <c r="BG188" s="436"/>
      <c r="BH188" s="436"/>
      <c r="BI188" s="436"/>
      <c r="BJ188" s="436"/>
      <c r="BK188" s="436"/>
      <c r="BL188" s="436"/>
      <c r="BM188" s="436"/>
      <c r="BN188" s="436"/>
      <c r="BO188" s="436"/>
      <c r="BP188" s="436"/>
      <c r="BQ188" s="436"/>
      <c r="BR188" s="436"/>
      <c r="BS188" s="436"/>
      <c r="BT188" s="436"/>
      <c r="BU188" s="436"/>
      <c r="BV188" s="436"/>
      <c r="BW188" s="436"/>
      <c r="BX188" s="436"/>
      <c r="BY188" s="436"/>
      <c r="BZ188" s="436"/>
      <c r="CA188" s="436"/>
      <c r="CB188" s="436"/>
      <c r="CC188" s="436"/>
      <c r="CD188" s="436"/>
      <c r="CE188" s="437">
        <f>SUM(IF(COLUMN($C188:$CD188)&lt;(3+'2、试卷（期末）'!$B$2),$C188:$CD188,))</f>
        <v>0</v>
      </c>
      <c r="CF188" s="437">
        <f>SUM(IF(COLUMN($C188:$CD188)&lt;(3+SUM('2、试卷（期末）'!$B$2:$B$3)),$C188:$CD188,))-$CE188</f>
        <v>0</v>
      </c>
      <c r="CG188" s="437">
        <f>SUM(IF(COLUMN($C188:$CD188)&lt;(3+SUM('2、试卷（期末）'!$B$2:$B$4)),$C188:$CD188,))-SUM($CE188:$CF188)</f>
        <v>0</v>
      </c>
      <c r="CH188" s="437">
        <f>SUM(IF(COLUMN($C188:$CD188)&lt;(3+SUM('2、试卷（期末）'!$B$2:$B$5)),$C188:$CD188,))-SUM($CE188:$CG188)</f>
        <v>0</v>
      </c>
      <c r="CI188" s="437">
        <f>SUM(IF(COLUMN($C188:$CD188)&lt;(3+SUM('2、试卷（期末）'!$B$2:$B$6)),$C188:$CD188,))-SUM($CE188:$CH188)</f>
        <v>0</v>
      </c>
      <c r="CJ188" s="437">
        <f>SUM(IF(COLUMN($C188:$CD188)&lt;(3+SUM('2、试卷（期末）'!$B$2:$B$7)),$C188:$CD188,))-SUM($CE188:$CI188)</f>
        <v>0</v>
      </c>
      <c r="CK188" s="437">
        <f>SUM(IF(COLUMN($C188:$CD188)&lt;(3+SUM('2、试卷（期末）'!$B$2:$B$8)),$C188:$CD188,))-SUM($CE188:$CJ188)</f>
        <v>0</v>
      </c>
      <c r="CL188" s="437">
        <f>SUM(IF(COLUMN($C188:$CD188)&lt;(3+SUM('2、试卷（期末）'!$B$2:$B$9)),$C188:$CD188,))-SUM($CE188:$CK188)</f>
        <v>0</v>
      </c>
      <c r="CM188" s="437">
        <f>SUM(IF(COLUMN($C188:$CD188)&lt;(3+SUM('2、试卷（期末）'!$B$2:$B$10)),$C188:$CD188,))-SUM($CE188:$CL188)</f>
        <v>0</v>
      </c>
      <c r="CN188" s="437">
        <f>SUM(IF(COLUMN($C188:$CD188)&lt;(3+SUM('2、试卷（期末）'!$B$2:$B$11)),$C188:$CD188,))-SUM($CE188:$CM188)</f>
        <v>0</v>
      </c>
      <c r="CO188" s="437">
        <f t="shared" si="5"/>
        <v>0</v>
      </c>
      <c r="CP188" s="438">
        <f ca="1">ROUND(CO188*'1、课程目标与考核方式'!$H$13/100+IF(ISERROR(VLOOKUP(A188,'4、平时成绩'!$A$2:$H$201,8,FALSE)),0,VLOOKUP(A188,'4、平时成绩'!$A$2:$H$201,8,FALSE)),0)</f>
        <v>0</v>
      </c>
    </row>
    <row r="189" s="32" customFormat="1" spans="1:94">
      <c r="A189" s="443"/>
      <c r="B189" s="443"/>
      <c r="C189" s="436"/>
      <c r="D189" s="436"/>
      <c r="E189" s="436"/>
      <c r="F189" s="436"/>
      <c r="G189" s="436"/>
      <c r="H189" s="436"/>
      <c r="I189" s="436"/>
      <c r="J189" s="436"/>
      <c r="K189" s="436"/>
      <c r="L189" s="436"/>
      <c r="M189" s="436"/>
      <c r="N189" s="436"/>
      <c r="O189" s="436"/>
      <c r="P189" s="436"/>
      <c r="Q189" s="436"/>
      <c r="R189" s="436"/>
      <c r="S189" s="436"/>
      <c r="T189" s="436"/>
      <c r="U189" s="436"/>
      <c r="V189" s="436"/>
      <c r="W189" s="436"/>
      <c r="X189" s="436"/>
      <c r="Y189" s="436"/>
      <c r="Z189" s="436"/>
      <c r="AA189" s="436"/>
      <c r="AB189" s="436"/>
      <c r="AC189" s="436"/>
      <c r="AD189" s="436"/>
      <c r="AE189" s="436"/>
      <c r="AF189" s="436"/>
      <c r="AG189" s="436"/>
      <c r="AH189" s="436"/>
      <c r="AI189" s="436"/>
      <c r="AJ189" s="436"/>
      <c r="AK189" s="436"/>
      <c r="AL189" s="436"/>
      <c r="AM189" s="436"/>
      <c r="AN189" s="436"/>
      <c r="AO189" s="436"/>
      <c r="AP189" s="436"/>
      <c r="AQ189" s="436"/>
      <c r="AR189" s="436"/>
      <c r="AS189" s="436"/>
      <c r="AT189" s="436"/>
      <c r="AU189" s="436"/>
      <c r="AV189" s="436"/>
      <c r="AW189" s="436"/>
      <c r="AX189" s="436"/>
      <c r="AY189" s="436"/>
      <c r="AZ189" s="436"/>
      <c r="BA189" s="436"/>
      <c r="BB189" s="436"/>
      <c r="BC189" s="436"/>
      <c r="BD189" s="436"/>
      <c r="BE189" s="436"/>
      <c r="BF189" s="436"/>
      <c r="BG189" s="436"/>
      <c r="BH189" s="436"/>
      <c r="BI189" s="436"/>
      <c r="BJ189" s="436"/>
      <c r="BK189" s="436"/>
      <c r="BL189" s="436"/>
      <c r="BM189" s="436"/>
      <c r="BN189" s="436"/>
      <c r="BO189" s="436"/>
      <c r="BP189" s="436"/>
      <c r="BQ189" s="436"/>
      <c r="BR189" s="436"/>
      <c r="BS189" s="436"/>
      <c r="BT189" s="436"/>
      <c r="BU189" s="436"/>
      <c r="BV189" s="436"/>
      <c r="BW189" s="436"/>
      <c r="BX189" s="436"/>
      <c r="BY189" s="436"/>
      <c r="BZ189" s="436"/>
      <c r="CA189" s="436"/>
      <c r="CB189" s="436"/>
      <c r="CC189" s="436"/>
      <c r="CD189" s="436"/>
      <c r="CE189" s="437">
        <f>SUM(IF(COLUMN($C189:$CD189)&lt;(3+'2、试卷（期末）'!$B$2),$C189:$CD189,))</f>
        <v>0</v>
      </c>
      <c r="CF189" s="437">
        <f>SUM(IF(COLUMN($C189:$CD189)&lt;(3+SUM('2、试卷（期末）'!$B$2:$B$3)),$C189:$CD189,))-$CE189</f>
        <v>0</v>
      </c>
      <c r="CG189" s="437">
        <f>SUM(IF(COLUMN($C189:$CD189)&lt;(3+SUM('2、试卷（期末）'!$B$2:$B$4)),$C189:$CD189,))-SUM($CE189:$CF189)</f>
        <v>0</v>
      </c>
      <c r="CH189" s="437">
        <f>SUM(IF(COLUMN($C189:$CD189)&lt;(3+SUM('2、试卷（期末）'!$B$2:$B$5)),$C189:$CD189,))-SUM($CE189:$CG189)</f>
        <v>0</v>
      </c>
      <c r="CI189" s="437">
        <f>SUM(IF(COLUMN($C189:$CD189)&lt;(3+SUM('2、试卷（期末）'!$B$2:$B$6)),$C189:$CD189,))-SUM($CE189:$CH189)</f>
        <v>0</v>
      </c>
      <c r="CJ189" s="437">
        <f>SUM(IF(COLUMN($C189:$CD189)&lt;(3+SUM('2、试卷（期末）'!$B$2:$B$7)),$C189:$CD189,))-SUM($CE189:$CI189)</f>
        <v>0</v>
      </c>
      <c r="CK189" s="437">
        <f>SUM(IF(COLUMN($C189:$CD189)&lt;(3+SUM('2、试卷（期末）'!$B$2:$B$8)),$C189:$CD189,))-SUM($CE189:$CJ189)</f>
        <v>0</v>
      </c>
      <c r="CL189" s="437">
        <f>SUM(IF(COLUMN($C189:$CD189)&lt;(3+SUM('2、试卷（期末）'!$B$2:$B$9)),$C189:$CD189,))-SUM($CE189:$CK189)</f>
        <v>0</v>
      </c>
      <c r="CM189" s="437">
        <f>SUM(IF(COLUMN($C189:$CD189)&lt;(3+SUM('2、试卷（期末）'!$B$2:$B$10)),$C189:$CD189,))-SUM($CE189:$CL189)</f>
        <v>0</v>
      </c>
      <c r="CN189" s="437">
        <f>SUM(IF(COLUMN($C189:$CD189)&lt;(3+SUM('2、试卷（期末）'!$B$2:$B$11)),$C189:$CD189,))-SUM($CE189:$CM189)</f>
        <v>0</v>
      </c>
      <c r="CO189" s="437">
        <f t="shared" si="5"/>
        <v>0</v>
      </c>
      <c r="CP189" s="438">
        <f ca="1">ROUND(CO189*'1、课程目标与考核方式'!$H$13/100+IF(ISERROR(VLOOKUP(A189,'4、平时成绩'!$A$2:$H$201,8,FALSE)),0,VLOOKUP(A189,'4、平时成绩'!$A$2:$H$201,8,FALSE)),0)</f>
        <v>0</v>
      </c>
    </row>
    <row r="190" s="32" customFormat="1" spans="1:94">
      <c r="A190" s="443"/>
      <c r="B190" s="443"/>
      <c r="C190" s="436"/>
      <c r="D190" s="436"/>
      <c r="E190" s="436"/>
      <c r="F190" s="436"/>
      <c r="G190" s="436"/>
      <c r="H190" s="436"/>
      <c r="I190" s="436"/>
      <c r="J190" s="436"/>
      <c r="K190" s="436"/>
      <c r="L190" s="436"/>
      <c r="M190" s="436"/>
      <c r="N190" s="436"/>
      <c r="O190" s="436"/>
      <c r="P190" s="436"/>
      <c r="Q190" s="436"/>
      <c r="R190" s="436"/>
      <c r="S190" s="436"/>
      <c r="T190" s="436"/>
      <c r="U190" s="436"/>
      <c r="V190" s="436"/>
      <c r="W190" s="436"/>
      <c r="X190" s="436"/>
      <c r="Y190" s="436"/>
      <c r="Z190" s="436"/>
      <c r="AA190" s="436"/>
      <c r="AB190" s="436"/>
      <c r="AC190" s="436"/>
      <c r="AD190" s="436"/>
      <c r="AE190" s="436"/>
      <c r="AF190" s="436"/>
      <c r="AG190" s="436"/>
      <c r="AH190" s="436"/>
      <c r="AI190" s="436"/>
      <c r="AJ190" s="436"/>
      <c r="AK190" s="436"/>
      <c r="AL190" s="436"/>
      <c r="AM190" s="436"/>
      <c r="AN190" s="436"/>
      <c r="AO190" s="436"/>
      <c r="AP190" s="436"/>
      <c r="AQ190" s="436"/>
      <c r="AR190" s="436"/>
      <c r="AS190" s="436"/>
      <c r="AT190" s="436"/>
      <c r="AU190" s="436"/>
      <c r="AV190" s="436"/>
      <c r="AW190" s="436"/>
      <c r="AX190" s="436"/>
      <c r="AY190" s="436"/>
      <c r="AZ190" s="436"/>
      <c r="BA190" s="436"/>
      <c r="BB190" s="436"/>
      <c r="BC190" s="436"/>
      <c r="BD190" s="436"/>
      <c r="BE190" s="436"/>
      <c r="BF190" s="436"/>
      <c r="BG190" s="436"/>
      <c r="BH190" s="436"/>
      <c r="BI190" s="436"/>
      <c r="BJ190" s="436"/>
      <c r="BK190" s="436"/>
      <c r="BL190" s="436"/>
      <c r="BM190" s="436"/>
      <c r="BN190" s="436"/>
      <c r="BO190" s="436"/>
      <c r="BP190" s="436"/>
      <c r="BQ190" s="436"/>
      <c r="BR190" s="436"/>
      <c r="BS190" s="436"/>
      <c r="BT190" s="436"/>
      <c r="BU190" s="436"/>
      <c r="BV190" s="436"/>
      <c r="BW190" s="436"/>
      <c r="BX190" s="436"/>
      <c r="BY190" s="436"/>
      <c r="BZ190" s="436"/>
      <c r="CA190" s="436"/>
      <c r="CB190" s="436"/>
      <c r="CC190" s="436"/>
      <c r="CD190" s="436"/>
      <c r="CE190" s="437">
        <f>SUM(IF(COLUMN($C190:$CD190)&lt;(3+'2、试卷（期末）'!$B$2),$C190:$CD190,))</f>
        <v>0</v>
      </c>
      <c r="CF190" s="437">
        <f>SUM(IF(COLUMN($C190:$CD190)&lt;(3+SUM('2、试卷（期末）'!$B$2:$B$3)),$C190:$CD190,))-$CE190</f>
        <v>0</v>
      </c>
      <c r="CG190" s="437">
        <f>SUM(IF(COLUMN($C190:$CD190)&lt;(3+SUM('2、试卷（期末）'!$B$2:$B$4)),$C190:$CD190,))-SUM($CE190:$CF190)</f>
        <v>0</v>
      </c>
      <c r="CH190" s="437">
        <f>SUM(IF(COLUMN($C190:$CD190)&lt;(3+SUM('2、试卷（期末）'!$B$2:$B$5)),$C190:$CD190,))-SUM($CE190:$CG190)</f>
        <v>0</v>
      </c>
      <c r="CI190" s="437">
        <f>SUM(IF(COLUMN($C190:$CD190)&lt;(3+SUM('2、试卷（期末）'!$B$2:$B$6)),$C190:$CD190,))-SUM($CE190:$CH190)</f>
        <v>0</v>
      </c>
      <c r="CJ190" s="437">
        <f>SUM(IF(COLUMN($C190:$CD190)&lt;(3+SUM('2、试卷（期末）'!$B$2:$B$7)),$C190:$CD190,))-SUM($CE190:$CI190)</f>
        <v>0</v>
      </c>
      <c r="CK190" s="437">
        <f>SUM(IF(COLUMN($C190:$CD190)&lt;(3+SUM('2、试卷（期末）'!$B$2:$B$8)),$C190:$CD190,))-SUM($CE190:$CJ190)</f>
        <v>0</v>
      </c>
      <c r="CL190" s="437">
        <f>SUM(IF(COLUMN($C190:$CD190)&lt;(3+SUM('2、试卷（期末）'!$B$2:$B$9)),$C190:$CD190,))-SUM($CE190:$CK190)</f>
        <v>0</v>
      </c>
      <c r="CM190" s="437">
        <f>SUM(IF(COLUMN($C190:$CD190)&lt;(3+SUM('2、试卷（期末）'!$B$2:$B$10)),$C190:$CD190,))-SUM($CE190:$CL190)</f>
        <v>0</v>
      </c>
      <c r="CN190" s="437">
        <f>SUM(IF(COLUMN($C190:$CD190)&lt;(3+SUM('2、试卷（期末）'!$B$2:$B$11)),$C190:$CD190,))-SUM($CE190:$CM190)</f>
        <v>0</v>
      </c>
      <c r="CO190" s="437">
        <f t="shared" si="5"/>
        <v>0</v>
      </c>
      <c r="CP190" s="438">
        <f ca="1">ROUND(CO190*'1、课程目标与考核方式'!$H$13/100+IF(ISERROR(VLOOKUP(A190,'4、平时成绩'!$A$2:$H$201,8,FALSE)),0,VLOOKUP(A190,'4、平时成绩'!$A$2:$H$201,8,FALSE)),0)</f>
        <v>0</v>
      </c>
    </row>
    <row r="191" s="32" customFormat="1" spans="1:94">
      <c r="A191" s="443"/>
      <c r="B191" s="443"/>
      <c r="C191" s="436"/>
      <c r="D191" s="436"/>
      <c r="E191" s="436"/>
      <c r="F191" s="436"/>
      <c r="G191" s="436"/>
      <c r="H191" s="436"/>
      <c r="I191" s="436"/>
      <c r="J191" s="436"/>
      <c r="K191" s="436"/>
      <c r="L191" s="436"/>
      <c r="M191" s="436"/>
      <c r="N191" s="436"/>
      <c r="O191" s="436"/>
      <c r="P191" s="436"/>
      <c r="Q191" s="436"/>
      <c r="R191" s="436"/>
      <c r="S191" s="436"/>
      <c r="T191" s="436"/>
      <c r="U191" s="436"/>
      <c r="V191" s="436"/>
      <c r="W191" s="436"/>
      <c r="X191" s="436"/>
      <c r="Y191" s="436"/>
      <c r="Z191" s="436"/>
      <c r="AA191" s="436"/>
      <c r="AB191" s="436"/>
      <c r="AC191" s="436"/>
      <c r="AD191" s="436"/>
      <c r="AE191" s="436"/>
      <c r="AF191" s="436"/>
      <c r="AG191" s="436"/>
      <c r="AH191" s="436"/>
      <c r="AI191" s="436"/>
      <c r="AJ191" s="436"/>
      <c r="AK191" s="436"/>
      <c r="AL191" s="436"/>
      <c r="AM191" s="436"/>
      <c r="AN191" s="436"/>
      <c r="AO191" s="436"/>
      <c r="AP191" s="436"/>
      <c r="AQ191" s="436"/>
      <c r="AR191" s="436"/>
      <c r="AS191" s="436"/>
      <c r="AT191" s="436"/>
      <c r="AU191" s="436"/>
      <c r="AV191" s="436"/>
      <c r="AW191" s="436"/>
      <c r="AX191" s="436"/>
      <c r="AY191" s="436"/>
      <c r="AZ191" s="436"/>
      <c r="BA191" s="436"/>
      <c r="BB191" s="436"/>
      <c r="BC191" s="436"/>
      <c r="BD191" s="436"/>
      <c r="BE191" s="436"/>
      <c r="BF191" s="436"/>
      <c r="BG191" s="436"/>
      <c r="BH191" s="436"/>
      <c r="BI191" s="436"/>
      <c r="BJ191" s="436"/>
      <c r="BK191" s="436"/>
      <c r="BL191" s="436"/>
      <c r="BM191" s="436"/>
      <c r="BN191" s="436"/>
      <c r="BO191" s="436"/>
      <c r="BP191" s="436"/>
      <c r="BQ191" s="436"/>
      <c r="BR191" s="436"/>
      <c r="BS191" s="436"/>
      <c r="BT191" s="436"/>
      <c r="BU191" s="436"/>
      <c r="BV191" s="436"/>
      <c r="BW191" s="436"/>
      <c r="BX191" s="436"/>
      <c r="BY191" s="436"/>
      <c r="BZ191" s="436"/>
      <c r="CA191" s="436"/>
      <c r="CB191" s="436"/>
      <c r="CC191" s="436"/>
      <c r="CD191" s="436"/>
      <c r="CE191" s="437">
        <f>SUM(IF(COLUMN($C191:$CD191)&lt;(3+'2、试卷（期末）'!$B$2),$C191:$CD191,))</f>
        <v>0</v>
      </c>
      <c r="CF191" s="437">
        <f>SUM(IF(COLUMN($C191:$CD191)&lt;(3+SUM('2、试卷（期末）'!$B$2:$B$3)),$C191:$CD191,))-$CE191</f>
        <v>0</v>
      </c>
      <c r="CG191" s="437">
        <f>SUM(IF(COLUMN($C191:$CD191)&lt;(3+SUM('2、试卷（期末）'!$B$2:$B$4)),$C191:$CD191,))-SUM($CE191:$CF191)</f>
        <v>0</v>
      </c>
      <c r="CH191" s="437">
        <f>SUM(IF(COLUMN($C191:$CD191)&lt;(3+SUM('2、试卷（期末）'!$B$2:$B$5)),$C191:$CD191,))-SUM($CE191:$CG191)</f>
        <v>0</v>
      </c>
      <c r="CI191" s="437">
        <f>SUM(IF(COLUMN($C191:$CD191)&lt;(3+SUM('2、试卷（期末）'!$B$2:$B$6)),$C191:$CD191,))-SUM($CE191:$CH191)</f>
        <v>0</v>
      </c>
      <c r="CJ191" s="437">
        <f>SUM(IF(COLUMN($C191:$CD191)&lt;(3+SUM('2、试卷（期末）'!$B$2:$B$7)),$C191:$CD191,))-SUM($CE191:$CI191)</f>
        <v>0</v>
      </c>
      <c r="CK191" s="437">
        <f>SUM(IF(COLUMN($C191:$CD191)&lt;(3+SUM('2、试卷（期末）'!$B$2:$B$8)),$C191:$CD191,))-SUM($CE191:$CJ191)</f>
        <v>0</v>
      </c>
      <c r="CL191" s="437">
        <f>SUM(IF(COLUMN($C191:$CD191)&lt;(3+SUM('2、试卷（期末）'!$B$2:$B$9)),$C191:$CD191,))-SUM($CE191:$CK191)</f>
        <v>0</v>
      </c>
      <c r="CM191" s="437">
        <f>SUM(IF(COLUMN($C191:$CD191)&lt;(3+SUM('2、试卷（期末）'!$B$2:$B$10)),$C191:$CD191,))-SUM($CE191:$CL191)</f>
        <v>0</v>
      </c>
      <c r="CN191" s="437">
        <f>SUM(IF(COLUMN($C191:$CD191)&lt;(3+SUM('2、试卷（期末）'!$B$2:$B$11)),$C191:$CD191,))-SUM($CE191:$CM191)</f>
        <v>0</v>
      </c>
      <c r="CO191" s="437">
        <f t="shared" si="5"/>
        <v>0</v>
      </c>
      <c r="CP191" s="438">
        <f ca="1">ROUND(CO191*'1、课程目标与考核方式'!$H$13/100+IF(ISERROR(VLOOKUP(A191,'4、平时成绩'!$A$2:$H$201,8,FALSE)),0,VLOOKUP(A191,'4、平时成绩'!$A$2:$H$201,8,FALSE)),0)</f>
        <v>0</v>
      </c>
    </row>
    <row r="192" s="32" customFormat="1" spans="1:94">
      <c r="A192" s="443"/>
      <c r="B192" s="443"/>
      <c r="C192" s="436"/>
      <c r="D192" s="436"/>
      <c r="E192" s="436"/>
      <c r="F192" s="436"/>
      <c r="G192" s="436"/>
      <c r="H192" s="436"/>
      <c r="I192" s="436"/>
      <c r="J192" s="436"/>
      <c r="K192" s="436"/>
      <c r="L192" s="436"/>
      <c r="M192" s="436"/>
      <c r="N192" s="436"/>
      <c r="O192" s="436"/>
      <c r="P192" s="436"/>
      <c r="Q192" s="436"/>
      <c r="R192" s="436"/>
      <c r="S192" s="436"/>
      <c r="T192" s="436"/>
      <c r="U192" s="436"/>
      <c r="V192" s="436"/>
      <c r="W192" s="436"/>
      <c r="X192" s="436"/>
      <c r="Y192" s="436"/>
      <c r="Z192" s="436"/>
      <c r="AA192" s="436"/>
      <c r="AB192" s="436"/>
      <c r="AC192" s="436"/>
      <c r="AD192" s="436"/>
      <c r="AE192" s="436"/>
      <c r="AF192" s="436"/>
      <c r="AG192" s="436"/>
      <c r="AH192" s="436"/>
      <c r="AI192" s="436"/>
      <c r="AJ192" s="436"/>
      <c r="AK192" s="436"/>
      <c r="AL192" s="436"/>
      <c r="AM192" s="436"/>
      <c r="AN192" s="436"/>
      <c r="AO192" s="436"/>
      <c r="AP192" s="436"/>
      <c r="AQ192" s="436"/>
      <c r="AR192" s="436"/>
      <c r="AS192" s="436"/>
      <c r="AT192" s="436"/>
      <c r="AU192" s="436"/>
      <c r="AV192" s="436"/>
      <c r="AW192" s="436"/>
      <c r="AX192" s="436"/>
      <c r="AY192" s="436"/>
      <c r="AZ192" s="436"/>
      <c r="BA192" s="436"/>
      <c r="BB192" s="436"/>
      <c r="BC192" s="436"/>
      <c r="BD192" s="436"/>
      <c r="BE192" s="436"/>
      <c r="BF192" s="436"/>
      <c r="BG192" s="436"/>
      <c r="BH192" s="436"/>
      <c r="BI192" s="436"/>
      <c r="BJ192" s="436"/>
      <c r="BK192" s="436"/>
      <c r="BL192" s="436"/>
      <c r="BM192" s="436"/>
      <c r="BN192" s="436"/>
      <c r="BO192" s="436"/>
      <c r="BP192" s="436"/>
      <c r="BQ192" s="436"/>
      <c r="BR192" s="436"/>
      <c r="BS192" s="436"/>
      <c r="BT192" s="436"/>
      <c r="BU192" s="436"/>
      <c r="BV192" s="436"/>
      <c r="BW192" s="436"/>
      <c r="BX192" s="436"/>
      <c r="BY192" s="436"/>
      <c r="BZ192" s="436"/>
      <c r="CA192" s="436"/>
      <c r="CB192" s="436"/>
      <c r="CC192" s="436"/>
      <c r="CD192" s="436"/>
      <c r="CE192" s="437">
        <f>SUM(IF(COLUMN($C192:$CD192)&lt;(3+'2、试卷（期末）'!$B$2),$C192:$CD192,))</f>
        <v>0</v>
      </c>
      <c r="CF192" s="437">
        <f>SUM(IF(COLUMN($C192:$CD192)&lt;(3+SUM('2、试卷（期末）'!$B$2:$B$3)),$C192:$CD192,))-$CE192</f>
        <v>0</v>
      </c>
      <c r="CG192" s="437">
        <f>SUM(IF(COLUMN($C192:$CD192)&lt;(3+SUM('2、试卷（期末）'!$B$2:$B$4)),$C192:$CD192,))-SUM($CE192:$CF192)</f>
        <v>0</v>
      </c>
      <c r="CH192" s="437">
        <f>SUM(IF(COLUMN($C192:$CD192)&lt;(3+SUM('2、试卷（期末）'!$B$2:$B$5)),$C192:$CD192,))-SUM($CE192:$CG192)</f>
        <v>0</v>
      </c>
      <c r="CI192" s="437">
        <f>SUM(IF(COLUMN($C192:$CD192)&lt;(3+SUM('2、试卷（期末）'!$B$2:$B$6)),$C192:$CD192,))-SUM($CE192:$CH192)</f>
        <v>0</v>
      </c>
      <c r="CJ192" s="437">
        <f>SUM(IF(COLUMN($C192:$CD192)&lt;(3+SUM('2、试卷（期末）'!$B$2:$B$7)),$C192:$CD192,))-SUM($CE192:$CI192)</f>
        <v>0</v>
      </c>
      <c r="CK192" s="437">
        <f>SUM(IF(COLUMN($C192:$CD192)&lt;(3+SUM('2、试卷（期末）'!$B$2:$B$8)),$C192:$CD192,))-SUM($CE192:$CJ192)</f>
        <v>0</v>
      </c>
      <c r="CL192" s="437">
        <f>SUM(IF(COLUMN($C192:$CD192)&lt;(3+SUM('2、试卷（期末）'!$B$2:$B$9)),$C192:$CD192,))-SUM($CE192:$CK192)</f>
        <v>0</v>
      </c>
      <c r="CM192" s="437">
        <f>SUM(IF(COLUMN($C192:$CD192)&lt;(3+SUM('2、试卷（期末）'!$B$2:$B$10)),$C192:$CD192,))-SUM($CE192:$CL192)</f>
        <v>0</v>
      </c>
      <c r="CN192" s="437">
        <f>SUM(IF(COLUMN($C192:$CD192)&lt;(3+SUM('2、试卷（期末）'!$B$2:$B$11)),$C192:$CD192,))-SUM($CE192:$CM192)</f>
        <v>0</v>
      </c>
      <c r="CO192" s="437">
        <f t="shared" si="5"/>
        <v>0</v>
      </c>
      <c r="CP192" s="438">
        <f ca="1">ROUND(CO192*'1、课程目标与考核方式'!$H$13/100+IF(ISERROR(VLOOKUP(A192,'4、平时成绩'!$A$2:$H$201,8,FALSE)),0,VLOOKUP(A192,'4、平时成绩'!$A$2:$H$201,8,FALSE)),0)</f>
        <v>0</v>
      </c>
    </row>
    <row r="193" s="32" customFormat="1" spans="1:94">
      <c r="A193" s="443"/>
      <c r="B193" s="443"/>
      <c r="C193" s="436"/>
      <c r="D193" s="436"/>
      <c r="E193" s="436"/>
      <c r="F193" s="436"/>
      <c r="G193" s="436"/>
      <c r="H193" s="436"/>
      <c r="I193" s="436"/>
      <c r="J193" s="436"/>
      <c r="K193" s="436"/>
      <c r="L193" s="436"/>
      <c r="M193" s="436"/>
      <c r="N193" s="436"/>
      <c r="O193" s="436"/>
      <c r="P193" s="436"/>
      <c r="Q193" s="436"/>
      <c r="R193" s="436"/>
      <c r="S193" s="436"/>
      <c r="T193" s="436"/>
      <c r="U193" s="436"/>
      <c r="V193" s="436"/>
      <c r="W193" s="436"/>
      <c r="X193" s="436"/>
      <c r="Y193" s="436"/>
      <c r="Z193" s="436"/>
      <c r="AA193" s="436"/>
      <c r="AB193" s="436"/>
      <c r="AC193" s="436"/>
      <c r="AD193" s="436"/>
      <c r="AE193" s="436"/>
      <c r="AF193" s="436"/>
      <c r="AG193" s="436"/>
      <c r="AH193" s="436"/>
      <c r="AI193" s="436"/>
      <c r="AJ193" s="436"/>
      <c r="AK193" s="436"/>
      <c r="AL193" s="436"/>
      <c r="AM193" s="436"/>
      <c r="AN193" s="436"/>
      <c r="AO193" s="436"/>
      <c r="AP193" s="436"/>
      <c r="AQ193" s="436"/>
      <c r="AR193" s="436"/>
      <c r="AS193" s="436"/>
      <c r="AT193" s="436"/>
      <c r="AU193" s="436"/>
      <c r="AV193" s="436"/>
      <c r="AW193" s="436"/>
      <c r="AX193" s="436"/>
      <c r="AY193" s="436"/>
      <c r="AZ193" s="436"/>
      <c r="BA193" s="436"/>
      <c r="BB193" s="436"/>
      <c r="BC193" s="436"/>
      <c r="BD193" s="436"/>
      <c r="BE193" s="436"/>
      <c r="BF193" s="436"/>
      <c r="BG193" s="436"/>
      <c r="BH193" s="436"/>
      <c r="BI193" s="436"/>
      <c r="BJ193" s="436"/>
      <c r="BK193" s="436"/>
      <c r="BL193" s="436"/>
      <c r="BM193" s="436"/>
      <c r="BN193" s="436"/>
      <c r="BO193" s="436"/>
      <c r="BP193" s="436"/>
      <c r="BQ193" s="436"/>
      <c r="BR193" s="436"/>
      <c r="BS193" s="436"/>
      <c r="BT193" s="436"/>
      <c r="BU193" s="436"/>
      <c r="BV193" s="436"/>
      <c r="BW193" s="436"/>
      <c r="BX193" s="436"/>
      <c r="BY193" s="436"/>
      <c r="BZ193" s="436"/>
      <c r="CA193" s="436"/>
      <c r="CB193" s="436"/>
      <c r="CC193" s="436"/>
      <c r="CD193" s="436"/>
      <c r="CE193" s="437">
        <f>SUM(IF(COLUMN($C193:$CD193)&lt;(3+'2、试卷（期末）'!$B$2),$C193:$CD193,))</f>
        <v>0</v>
      </c>
      <c r="CF193" s="437">
        <f>SUM(IF(COLUMN($C193:$CD193)&lt;(3+SUM('2、试卷（期末）'!$B$2:$B$3)),$C193:$CD193,))-$CE193</f>
        <v>0</v>
      </c>
      <c r="CG193" s="437">
        <f>SUM(IF(COLUMN($C193:$CD193)&lt;(3+SUM('2、试卷（期末）'!$B$2:$B$4)),$C193:$CD193,))-SUM($CE193:$CF193)</f>
        <v>0</v>
      </c>
      <c r="CH193" s="437">
        <f>SUM(IF(COLUMN($C193:$CD193)&lt;(3+SUM('2、试卷（期末）'!$B$2:$B$5)),$C193:$CD193,))-SUM($CE193:$CG193)</f>
        <v>0</v>
      </c>
      <c r="CI193" s="437">
        <f>SUM(IF(COLUMN($C193:$CD193)&lt;(3+SUM('2、试卷（期末）'!$B$2:$B$6)),$C193:$CD193,))-SUM($CE193:$CH193)</f>
        <v>0</v>
      </c>
      <c r="CJ193" s="437">
        <f>SUM(IF(COLUMN($C193:$CD193)&lt;(3+SUM('2、试卷（期末）'!$B$2:$B$7)),$C193:$CD193,))-SUM($CE193:$CI193)</f>
        <v>0</v>
      </c>
      <c r="CK193" s="437">
        <f>SUM(IF(COLUMN($C193:$CD193)&lt;(3+SUM('2、试卷（期末）'!$B$2:$B$8)),$C193:$CD193,))-SUM($CE193:$CJ193)</f>
        <v>0</v>
      </c>
      <c r="CL193" s="437">
        <f>SUM(IF(COLUMN($C193:$CD193)&lt;(3+SUM('2、试卷（期末）'!$B$2:$B$9)),$C193:$CD193,))-SUM($CE193:$CK193)</f>
        <v>0</v>
      </c>
      <c r="CM193" s="437">
        <f>SUM(IF(COLUMN($C193:$CD193)&lt;(3+SUM('2、试卷（期末）'!$B$2:$B$10)),$C193:$CD193,))-SUM($CE193:$CL193)</f>
        <v>0</v>
      </c>
      <c r="CN193" s="437">
        <f>SUM(IF(COLUMN($C193:$CD193)&lt;(3+SUM('2、试卷（期末）'!$B$2:$B$11)),$C193:$CD193,))-SUM($CE193:$CM193)</f>
        <v>0</v>
      </c>
      <c r="CO193" s="437">
        <f t="shared" si="5"/>
        <v>0</v>
      </c>
      <c r="CP193" s="438">
        <f ca="1">ROUND(CO193*'1、课程目标与考核方式'!$H$13/100+IF(ISERROR(VLOOKUP(A193,'4、平时成绩'!$A$2:$H$201,8,FALSE)),0,VLOOKUP(A193,'4、平时成绩'!$A$2:$H$201,8,FALSE)),0)</f>
        <v>0</v>
      </c>
    </row>
    <row r="194" s="32" customFormat="1" spans="1:94">
      <c r="A194" s="443"/>
      <c r="B194" s="443"/>
      <c r="C194" s="436"/>
      <c r="D194" s="436"/>
      <c r="E194" s="436"/>
      <c r="F194" s="436"/>
      <c r="G194" s="436"/>
      <c r="H194" s="436"/>
      <c r="I194" s="436"/>
      <c r="J194" s="436"/>
      <c r="K194" s="436"/>
      <c r="L194" s="436"/>
      <c r="M194" s="436"/>
      <c r="N194" s="436"/>
      <c r="O194" s="436"/>
      <c r="P194" s="436"/>
      <c r="Q194" s="436"/>
      <c r="R194" s="436"/>
      <c r="S194" s="436"/>
      <c r="T194" s="436"/>
      <c r="U194" s="436"/>
      <c r="V194" s="436"/>
      <c r="W194" s="436"/>
      <c r="X194" s="436"/>
      <c r="Y194" s="436"/>
      <c r="Z194" s="436"/>
      <c r="AA194" s="436"/>
      <c r="AB194" s="436"/>
      <c r="AC194" s="436"/>
      <c r="AD194" s="436"/>
      <c r="AE194" s="436"/>
      <c r="AF194" s="436"/>
      <c r="AG194" s="436"/>
      <c r="AH194" s="436"/>
      <c r="AI194" s="436"/>
      <c r="AJ194" s="436"/>
      <c r="AK194" s="436"/>
      <c r="AL194" s="436"/>
      <c r="AM194" s="436"/>
      <c r="AN194" s="436"/>
      <c r="AO194" s="436"/>
      <c r="AP194" s="436"/>
      <c r="AQ194" s="436"/>
      <c r="AR194" s="436"/>
      <c r="AS194" s="436"/>
      <c r="AT194" s="436"/>
      <c r="AU194" s="436"/>
      <c r="AV194" s="436"/>
      <c r="AW194" s="436"/>
      <c r="AX194" s="436"/>
      <c r="AY194" s="436"/>
      <c r="AZ194" s="436"/>
      <c r="BA194" s="436"/>
      <c r="BB194" s="436"/>
      <c r="BC194" s="436"/>
      <c r="BD194" s="436"/>
      <c r="BE194" s="436"/>
      <c r="BF194" s="436"/>
      <c r="BG194" s="436"/>
      <c r="BH194" s="436"/>
      <c r="BI194" s="436"/>
      <c r="BJ194" s="436"/>
      <c r="BK194" s="436"/>
      <c r="BL194" s="436"/>
      <c r="BM194" s="436"/>
      <c r="BN194" s="436"/>
      <c r="BO194" s="436"/>
      <c r="BP194" s="436"/>
      <c r="BQ194" s="436"/>
      <c r="BR194" s="436"/>
      <c r="BS194" s="436"/>
      <c r="BT194" s="436"/>
      <c r="BU194" s="436"/>
      <c r="BV194" s="436"/>
      <c r="BW194" s="436"/>
      <c r="BX194" s="436"/>
      <c r="BY194" s="436"/>
      <c r="BZ194" s="436"/>
      <c r="CA194" s="436"/>
      <c r="CB194" s="436"/>
      <c r="CC194" s="436"/>
      <c r="CD194" s="436"/>
      <c r="CE194" s="437">
        <f>SUM(IF(COLUMN($C194:$CD194)&lt;(3+'2、试卷（期末）'!$B$2),$C194:$CD194,))</f>
        <v>0</v>
      </c>
      <c r="CF194" s="437">
        <f>SUM(IF(COLUMN($C194:$CD194)&lt;(3+SUM('2、试卷（期末）'!$B$2:$B$3)),$C194:$CD194,))-$CE194</f>
        <v>0</v>
      </c>
      <c r="CG194" s="437">
        <f>SUM(IF(COLUMN($C194:$CD194)&lt;(3+SUM('2、试卷（期末）'!$B$2:$B$4)),$C194:$CD194,))-SUM($CE194:$CF194)</f>
        <v>0</v>
      </c>
      <c r="CH194" s="437">
        <f>SUM(IF(COLUMN($C194:$CD194)&lt;(3+SUM('2、试卷（期末）'!$B$2:$B$5)),$C194:$CD194,))-SUM($CE194:$CG194)</f>
        <v>0</v>
      </c>
      <c r="CI194" s="437">
        <f>SUM(IF(COLUMN($C194:$CD194)&lt;(3+SUM('2、试卷（期末）'!$B$2:$B$6)),$C194:$CD194,))-SUM($CE194:$CH194)</f>
        <v>0</v>
      </c>
      <c r="CJ194" s="437">
        <f>SUM(IF(COLUMN($C194:$CD194)&lt;(3+SUM('2、试卷（期末）'!$B$2:$B$7)),$C194:$CD194,))-SUM($CE194:$CI194)</f>
        <v>0</v>
      </c>
      <c r="CK194" s="437">
        <f>SUM(IF(COLUMN($C194:$CD194)&lt;(3+SUM('2、试卷（期末）'!$B$2:$B$8)),$C194:$CD194,))-SUM($CE194:$CJ194)</f>
        <v>0</v>
      </c>
      <c r="CL194" s="437">
        <f>SUM(IF(COLUMN($C194:$CD194)&lt;(3+SUM('2、试卷（期末）'!$B$2:$B$9)),$C194:$CD194,))-SUM($CE194:$CK194)</f>
        <v>0</v>
      </c>
      <c r="CM194" s="437">
        <f>SUM(IF(COLUMN($C194:$CD194)&lt;(3+SUM('2、试卷（期末）'!$B$2:$B$10)),$C194:$CD194,))-SUM($CE194:$CL194)</f>
        <v>0</v>
      </c>
      <c r="CN194" s="437">
        <f>SUM(IF(COLUMN($C194:$CD194)&lt;(3+SUM('2、试卷（期末）'!$B$2:$B$11)),$C194:$CD194,))-SUM($CE194:$CM194)</f>
        <v>0</v>
      </c>
      <c r="CO194" s="437">
        <f t="shared" si="5"/>
        <v>0</v>
      </c>
      <c r="CP194" s="438">
        <f ca="1">ROUND(CO194*'1、课程目标与考核方式'!$H$13/100+IF(ISERROR(VLOOKUP(A194,'4、平时成绩'!$A$2:$H$201,8,FALSE)),0,VLOOKUP(A194,'4、平时成绩'!$A$2:$H$201,8,FALSE)),0)</f>
        <v>0</v>
      </c>
    </row>
    <row r="195" s="32" customFormat="1" spans="1:94">
      <c r="A195" s="443"/>
      <c r="B195" s="443"/>
      <c r="C195" s="436"/>
      <c r="D195" s="436"/>
      <c r="E195" s="436"/>
      <c r="F195" s="436"/>
      <c r="G195" s="436"/>
      <c r="H195" s="436"/>
      <c r="I195" s="436"/>
      <c r="J195" s="436"/>
      <c r="K195" s="436"/>
      <c r="L195" s="436"/>
      <c r="M195" s="436"/>
      <c r="N195" s="436"/>
      <c r="O195" s="436"/>
      <c r="P195" s="436"/>
      <c r="Q195" s="436"/>
      <c r="R195" s="436"/>
      <c r="S195" s="436"/>
      <c r="T195" s="436"/>
      <c r="U195" s="436"/>
      <c r="V195" s="436"/>
      <c r="W195" s="436"/>
      <c r="X195" s="436"/>
      <c r="Y195" s="436"/>
      <c r="Z195" s="436"/>
      <c r="AA195" s="436"/>
      <c r="AB195" s="436"/>
      <c r="AC195" s="436"/>
      <c r="AD195" s="436"/>
      <c r="AE195" s="436"/>
      <c r="AF195" s="436"/>
      <c r="AG195" s="436"/>
      <c r="AH195" s="436"/>
      <c r="AI195" s="436"/>
      <c r="AJ195" s="436"/>
      <c r="AK195" s="436"/>
      <c r="AL195" s="436"/>
      <c r="AM195" s="436"/>
      <c r="AN195" s="436"/>
      <c r="AO195" s="436"/>
      <c r="AP195" s="436"/>
      <c r="AQ195" s="436"/>
      <c r="AR195" s="436"/>
      <c r="AS195" s="436"/>
      <c r="AT195" s="436"/>
      <c r="AU195" s="436"/>
      <c r="AV195" s="436"/>
      <c r="AW195" s="436"/>
      <c r="AX195" s="436"/>
      <c r="AY195" s="436"/>
      <c r="AZ195" s="436"/>
      <c r="BA195" s="436"/>
      <c r="BB195" s="436"/>
      <c r="BC195" s="436"/>
      <c r="BD195" s="436"/>
      <c r="BE195" s="436"/>
      <c r="BF195" s="436"/>
      <c r="BG195" s="436"/>
      <c r="BH195" s="436"/>
      <c r="BI195" s="436"/>
      <c r="BJ195" s="436"/>
      <c r="BK195" s="436"/>
      <c r="BL195" s="436"/>
      <c r="BM195" s="436"/>
      <c r="BN195" s="436"/>
      <c r="BO195" s="436"/>
      <c r="BP195" s="436"/>
      <c r="BQ195" s="436"/>
      <c r="BR195" s="436"/>
      <c r="BS195" s="436"/>
      <c r="BT195" s="436"/>
      <c r="BU195" s="436"/>
      <c r="BV195" s="436"/>
      <c r="BW195" s="436"/>
      <c r="BX195" s="436"/>
      <c r="BY195" s="436"/>
      <c r="BZ195" s="436"/>
      <c r="CA195" s="436"/>
      <c r="CB195" s="436"/>
      <c r="CC195" s="436"/>
      <c r="CD195" s="436"/>
      <c r="CE195" s="437">
        <f>SUM(IF(COLUMN($C195:$CD195)&lt;(3+'2、试卷（期末）'!$B$2),$C195:$CD195,))</f>
        <v>0</v>
      </c>
      <c r="CF195" s="437">
        <f>SUM(IF(COLUMN($C195:$CD195)&lt;(3+SUM('2、试卷（期末）'!$B$2:$B$3)),$C195:$CD195,))-$CE195</f>
        <v>0</v>
      </c>
      <c r="CG195" s="437">
        <f>SUM(IF(COLUMN($C195:$CD195)&lt;(3+SUM('2、试卷（期末）'!$B$2:$B$4)),$C195:$CD195,))-SUM($CE195:$CF195)</f>
        <v>0</v>
      </c>
      <c r="CH195" s="437">
        <f>SUM(IF(COLUMN($C195:$CD195)&lt;(3+SUM('2、试卷（期末）'!$B$2:$B$5)),$C195:$CD195,))-SUM($CE195:$CG195)</f>
        <v>0</v>
      </c>
      <c r="CI195" s="437">
        <f>SUM(IF(COLUMN($C195:$CD195)&lt;(3+SUM('2、试卷（期末）'!$B$2:$B$6)),$C195:$CD195,))-SUM($CE195:$CH195)</f>
        <v>0</v>
      </c>
      <c r="CJ195" s="437">
        <f>SUM(IF(COLUMN($C195:$CD195)&lt;(3+SUM('2、试卷（期末）'!$B$2:$B$7)),$C195:$CD195,))-SUM($CE195:$CI195)</f>
        <v>0</v>
      </c>
      <c r="CK195" s="437">
        <f>SUM(IF(COLUMN($C195:$CD195)&lt;(3+SUM('2、试卷（期末）'!$B$2:$B$8)),$C195:$CD195,))-SUM($CE195:$CJ195)</f>
        <v>0</v>
      </c>
      <c r="CL195" s="437">
        <f>SUM(IF(COLUMN($C195:$CD195)&lt;(3+SUM('2、试卷（期末）'!$B$2:$B$9)),$C195:$CD195,))-SUM($CE195:$CK195)</f>
        <v>0</v>
      </c>
      <c r="CM195" s="437">
        <f>SUM(IF(COLUMN($C195:$CD195)&lt;(3+SUM('2、试卷（期末）'!$B$2:$B$10)),$C195:$CD195,))-SUM($CE195:$CL195)</f>
        <v>0</v>
      </c>
      <c r="CN195" s="437">
        <f>SUM(IF(COLUMN($C195:$CD195)&lt;(3+SUM('2、试卷（期末）'!$B$2:$B$11)),$C195:$CD195,))-SUM($CE195:$CM195)</f>
        <v>0</v>
      </c>
      <c r="CO195" s="437">
        <f t="shared" si="5"/>
        <v>0</v>
      </c>
      <c r="CP195" s="438">
        <f ca="1">ROUND(CO195*'1、课程目标与考核方式'!$H$13/100+IF(ISERROR(VLOOKUP(A195,'4、平时成绩'!$A$2:$H$201,8,FALSE)),0,VLOOKUP(A195,'4、平时成绩'!$A$2:$H$201,8,FALSE)),0)</f>
        <v>0</v>
      </c>
    </row>
    <row r="196" s="32" customFormat="1" spans="1:94">
      <c r="A196" s="443"/>
      <c r="B196" s="443"/>
      <c r="C196" s="436"/>
      <c r="D196" s="436"/>
      <c r="E196" s="436"/>
      <c r="F196" s="436"/>
      <c r="G196" s="436"/>
      <c r="H196" s="436"/>
      <c r="I196" s="436"/>
      <c r="J196" s="436"/>
      <c r="K196" s="436"/>
      <c r="L196" s="436"/>
      <c r="M196" s="436"/>
      <c r="N196" s="436"/>
      <c r="O196" s="436"/>
      <c r="P196" s="436"/>
      <c r="Q196" s="436"/>
      <c r="R196" s="436"/>
      <c r="S196" s="436"/>
      <c r="T196" s="436"/>
      <c r="U196" s="436"/>
      <c r="V196" s="436"/>
      <c r="W196" s="436"/>
      <c r="X196" s="436"/>
      <c r="Y196" s="436"/>
      <c r="Z196" s="436"/>
      <c r="AA196" s="436"/>
      <c r="AB196" s="436"/>
      <c r="AC196" s="436"/>
      <c r="AD196" s="436"/>
      <c r="AE196" s="436"/>
      <c r="AF196" s="436"/>
      <c r="AG196" s="436"/>
      <c r="AH196" s="436"/>
      <c r="AI196" s="436"/>
      <c r="AJ196" s="436"/>
      <c r="AK196" s="436"/>
      <c r="AL196" s="436"/>
      <c r="AM196" s="436"/>
      <c r="AN196" s="436"/>
      <c r="AO196" s="436"/>
      <c r="AP196" s="436"/>
      <c r="AQ196" s="436"/>
      <c r="AR196" s="436"/>
      <c r="AS196" s="436"/>
      <c r="AT196" s="436"/>
      <c r="AU196" s="436"/>
      <c r="AV196" s="436"/>
      <c r="AW196" s="436"/>
      <c r="AX196" s="436"/>
      <c r="AY196" s="436"/>
      <c r="AZ196" s="436"/>
      <c r="BA196" s="436"/>
      <c r="BB196" s="436"/>
      <c r="BC196" s="436"/>
      <c r="BD196" s="436"/>
      <c r="BE196" s="436"/>
      <c r="BF196" s="436"/>
      <c r="BG196" s="436"/>
      <c r="BH196" s="436"/>
      <c r="BI196" s="436"/>
      <c r="BJ196" s="436"/>
      <c r="BK196" s="436"/>
      <c r="BL196" s="436"/>
      <c r="BM196" s="436"/>
      <c r="BN196" s="436"/>
      <c r="BO196" s="436"/>
      <c r="BP196" s="436"/>
      <c r="BQ196" s="436"/>
      <c r="BR196" s="436"/>
      <c r="BS196" s="436"/>
      <c r="BT196" s="436"/>
      <c r="BU196" s="436"/>
      <c r="BV196" s="436"/>
      <c r="BW196" s="436"/>
      <c r="BX196" s="436"/>
      <c r="BY196" s="436"/>
      <c r="BZ196" s="436"/>
      <c r="CA196" s="436"/>
      <c r="CB196" s="436"/>
      <c r="CC196" s="436"/>
      <c r="CD196" s="436"/>
      <c r="CE196" s="437">
        <f>SUM(IF(COLUMN($C196:$CD196)&lt;(3+'2、试卷（期末）'!$B$2),$C196:$CD196,))</f>
        <v>0</v>
      </c>
      <c r="CF196" s="437">
        <f>SUM(IF(COLUMN($C196:$CD196)&lt;(3+SUM('2、试卷（期末）'!$B$2:$B$3)),$C196:$CD196,))-$CE196</f>
        <v>0</v>
      </c>
      <c r="CG196" s="437">
        <f>SUM(IF(COLUMN($C196:$CD196)&lt;(3+SUM('2、试卷（期末）'!$B$2:$B$4)),$C196:$CD196,))-SUM($CE196:$CF196)</f>
        <v>0</v>
      </c>
      <c r="CH196" s="437">
        <f>SUM(IF(COLUMN($C196:$CD196)&lt;(3+SUM('2、试卷（期末）'!$B$2:$B$5)),$C196:$CD196,))-SUM($CE196:$CG196)</f>
        <v>0</v>
      </c>
      <c r="CI196" s="437">
        <f>SUM(IF(COLUMN($C196:$CD196)&lt;(3+SUM('2、试卷（期末）'!$B$2:$B$6)),$C196:$CD196,))-SUM($CE196:$CH196)</f>
        <v>0</v>
      </c>
      <c r="CJ196" s="437">
        <f>SUM(IF(COLUMN($C196:$CD196)&lt;(3+SUM('2、试卷（期末）'!$B$2:$B$7)),$C196:$CD196,))-SUM($CE196:$CI196)</f>
        <v>0</v>
      </c>
      <c r="CK196" s="437">
        <f>SUM(IF(COLUMN($C196:$CD196)&lt;(3+SUM('2、试卷（期末）'!$B$2:$B$8)),$C196:$CD196,))-SUM($CE196:$CJ196)</f>
        <v>0</v>
      </c>
      <c r="CL196" s="437">
        <f>SUM(IF(COLUMN($C196:$CD196)&lt;(3+SUM('2、试卷（期末）'!$B$2:$B$9)),$C196:$CD196,))-SUM($CE196:$CK196)</f>
        <v>0</v>
      </c>
      <c r="CM196" s="437">
        <f>SUM(IF(COLUMN($C196:$CD196)&lt;(3+SUM('2、试卷（期末）'!$B$2:$B$10)),$C196:$CD196,))-SUM($CE196:$CL196)</f>
        <v>0</v>
      </c>
      <c r="CN196" s="437">
        <f>SUM(IF(COLUMN($C196:$CD196)&lt;(3+SUM('2、试卷（期末）'!$B$2:$B$11)),$C196:$CD196,))-SUM($CE196:$CM196)</f>
        <v>0</v>
      </c>
      <c r="CO196" s="437">
        <f t="shared" si="5"/>
        <v>0</v>
      </c>
      <c r="CP196" s="438">
        <f ca="1">ROUND(CO196*'1、课程目标与考核方式'!$H$13/100+IF(ISERROR(VLOOKUP(A196,'4、平时成绩'!$A$2:$H$201,8,FALSE)),0,VLOOKUP(A196,'4、平时成绩'!$A$2:$H$201,8,FALSE)),0)</f>
        <v>0</v>
      </c>
    </row>
    <row r="197" s="32" customFormat="1" spans="1:94">
      <c r="A197" s="443"/>
      <c r="B197" s="443"/>
      <c r="C197" s="436"/>
      <c r="D197" s="436"/>
      <c r="E197" s="436"/>
      <c r="F197" s="436"/>
      <c r="G197" s="436"/>
      <c r="H197" s="436"/>
      <c r="I197" s="436"/>
      <c r="J197" s="436"/>
      <c r="K197" s="436"/>
      <c r="L197" s="436"/>
      <c r="M197" s="436"/>
      <c r="N197" s="436"/>
      <c r="O197" s="436"/>
      <c r="P197" s="436"/>
      <c r="Q197" s="436"/>
      <c r="R197" s="436"/>
      <c r="S197" s="436"/>
      <c r="T197" s="436"/>
      <c r="U197" s="436"/>
      <c r="V197" s="436"/>
      <c r="W197" s="436"/>
      <c r="X197" s="436"/>
      <c r="Y197" s="436"/>
      <c r="Z197" s="436"/>
      <c r="AA197" s="436"/>
      <c r="AB197" s="436"/>
      <c r="AC197" s="436"/>
      <c r="AD197" s="436"/>
      <c r="AE197" s="436"/>
      <c r="AF197" s="436"/>
      <c r="AG197" s="436"/>
      <c r="AH197" s="436"/>
      <c r="AI197" s="436"/>
      <c r="AJ197" s="436"/>
      <c r="AK197" s="436"/>
      <c r="AL197" s="436"/>
      <c r="AM197" s="436"/>
      <c r="AN197" s="436"/>
      <c r="AO197" s="436"/>
      <c r="AP197" s="436"/>
      <c r="AQ197" s="436"/>
      <c r="AR197" s="436"/>
      <c r="AS197" s="436"/>
      <c r="AT197" s="436"/>
      <c r="AU197" s="436"/>
      <c r="AV197" s="436"/>
      <c r="AW197" s="436"/>
      <c r="AX197" s="436"/>
      <c r="AY197" s="436"/>
      <c r="AZ197" s="436"/>
      <c r="BA197" s="436"/>
      <c r="BB197" s="436"/>
      <c r="BC197" s="436"/>
      <c r="BD197" s="436"/>
      <c r="BE197" s="436"/>
      <c r="BF197" s="436"/>
      <c r="BG197" s="436"/>
      <c r="BH197" s="436"/>
      <c r="BI197" s="436"/>
      <c r="BJ197" s="436"/>
      <c r="BK197" s="436"/>
      <c r="BL197" s="436"/>
      <c r="BM197" s="436"/>
      <c r="BN197" s="436"/>
      <c r="BO197" s="436"/>
      <c r="BP197" s="436"/>
      <c r="BQ197" s="436"/>
      <c r="BR197" s="436"/>
      <c r="BS197" s="436"/>
      <c r="BT197" s="436"/>
      <c r="BU197" s="436"/>
      <c r="BV197" s="436"/>
      <c r="BW197" s="436"/>
      <c r="BX197" s="436"/>
      <c r="BY197" s="436"/>
      <c r="BZ197" s="436"/>
      <c r="CA197" s="436"/>
      <c r="CB197" s="436"/>
      <c r="CC197" s="436"/>
      <c r="CD197" s="436"/>
      <c r="CE197" s="437">
        <f>SUM(IF(COLUMN($C197:$CD197)&lt;(3+'2、试卷（期末）'!$B$2),$C197:$CD197,))</f>
        <v>0</v>
      </c>
      <c r="CF197" s="437">
        <f>SUM(IF(COLUMN($C197:$CD197)&lt;(3+SUM('2、试卷（期末）'!$B$2:$B$3)),$C197:$CD197,))-$CE197</f>
        <v>0</v>
      </c>
      <c r="CG197" s="437">
        <f>SUM(IF(COLUMN($C197:$CD197)&lt;(3+SUM('2、试卷（期末）'!$B$2:$B$4)),$C197:$CD197,))-SUM($CE197:$CF197)</f>
        <v>0</v>
      </c>
      <c r="CH197" s="437">
        <f>SUM(IF(COLUMN($C197:$CD197)&lt;(3+SUM('2、试卷（期末）'!$B$2:$B$5)),$C197:$CD197,))-SUM($CE197:$CG197)</f>
        <v>0</v>
      </c>
      <c r="CI197" s="437">
        <f>SUM(IF(COLUMN($C197:$CD197)&lt;(3+SUM('2、试卷（期末）'!$B$2:$B$6)),$C197:$CD197,))-SUM($CE197:$CH197)</f>
        <v>0</v>
      </c>
      <c r="CJ197" s="437">
        <f>SUM(IF(COLUMN($C197:$CD197)&lt;(3+SUM('2、试卷（期末）'!$B$2:$B$7)),$C197:$CD197,))-SUM($CE197:$CI197)</f>
        <v>0</v>
      </c>
      <c r="CK197" s="437">
        <f>SUM(IF(COLUMN($C197:$CD197)&lt;(3+SUM('2、试卷（期末）'!$B$2:$B$8)),$C197:$CD197,))-SUM($CE197:$CJ197)</f>
        <v>0</v>
      </c>
      <c r="CL197" s="437">
        <f>SUM(IF(COLUMN($C197:$CD197)&lt;(3+SUM('2、试卷（期末）'!$B$2:$B$9)),$C197:$CD197,))-SUM($CE197:$CK197)</f>
        <v>0</v>
      </c>
      <c r="CM197" s="437">
        <f>SUM(IF(COLUMN($C197:$CD197)&lt;(3+SUM('2、试卷（期末）'!$B$2:$B$10)),$C197:$CD197,))-SUM($CE197:$CL197)</f>
        <v>0</v>
      </c>
      <c r="CN197" s="437">
        <f>SUM(IF(COLUMN($C197:$CD197)&lt;(3+SUM('2、试卷（期末）'!$B$2:$B$11)),$C197:$CD197,))-SUM($CE197:$CM197)</f>
        <v>0</v>
      </c>
      <c r="CO197" s="437">
        <f t="shared" si="5"/>
        <v>0</v>
      </c>
      <c r="CP197" s="438">
        <f ca="1">ROUND(CO197*'1、课程目标与考核方式'!$H$13/100+IF(ISERROR(VLOOKUP(A197,'4、平时成绩'!$A$2:$H$201,8,FALSE)),0,VLOOKUP(A197,'4、平时成绩'!$A$2:$H$201,8,FALSE)),0)</f>
        <v>0</v>
      </c>
    </row>
    <row r="198" s="32" customFormat="1" spans="1:94">
      <c r="A198" s="443"/>
      <c r="B198" s="443"/>
      <c r="C198" s="436"/>
      <c r="D198" s="436"/>
      <c r="E198" s="436"/>
      <c r="F198" s="436"/>
      <c r="G198" s="436"/>
      <c r="H198" s="436"/>
      <c r="I198" s="436"/>
      <c r="J198" s="436"/>
      <c r="K198" s="436"/>
      <c r="L198" s="436"/>
      <c r="M198" s="436"/>
      <c r="N198" s="436"/>
      <c r="O198" s="436"/>
      <c r="P198" s="436"/>
      <c r="Q198" s="436"/>
      <c r="R198" s="436"/>
      <c r="S198" s="436"/>
      <c r="T198" s="436"/>
      <c r="U198" s="436"/>
      <c r="V198" s="436"/>
      <c r="W198" s="436"/>
      <c r="X198" s="436"/>
      <c r="Y198" s="436"/>
      <c r="Z198" s="436"/>
      <c r="AA198" s="436"/>
      <c r="AB198" s="436"/>
      <c r="AC198" s="436"/>
      <c r="AD198" s="436"/>
      <c r="AE198" s="436"/>
      <c r="AF198" s="436"/>
      <c r="AG198" s="436"/>
      <c r="AH198" s="436"/>
      <c r="AI198" s="436"/>
      <c r="AJ198" s="436"/>
      <c r="AK198" s="436"/>
      <c r="AL198" s="436"/>
      <c r="AM198" s="436"/>
      <c r="AN198" s="436"/>
      <c r="AO198" s="436"/>
      <c r="AP198" s="436"/>
      <c r="AQ198" s="436"/>
      <c r="AR198" s="436"/>
      <c r="AS198" s="436"/>
      <c r="AT198" s="436"/>
      <c r="AU198" s="436"/>
      <c r="AV198" s="436"/>
      <c r="AW198" s="436"/>
      <c r="AX198" s="436"/>
      <c r="AY198" s="436"/>
      <c r="AZ198" s="436"/>
      <c r="BA198" s="436"/>
      <c r="BB198" s="436"/>
      <c r="BC198" s="436"/>
      <c r="BD198" s="436"/>
      <c r="BE198" s="436"/>
      <c r="BF198" s="436"/>
      <c r="BG198" s="436"/>
      <c r="BH198" s="436"/>
      <c r="BI198" s="436"/>
      <c r="BJ198" s="436"/>
      <c r="BK198" s="436"/>
      <c r="BL198" s="436"/>
      <c r="BM198" s="436"/>
      <c r="BN198" s="436"/>
      <c r="BO198" s="436"/>
      <c r="BP198" s="436"/>
      <c r="BQ198" s="436"/>
      <c r="BR198" s="436"/>
      <c r="BS198" s="436"/>
      <c r="BT198" s="436"/>
      <c r="BU198" s="436"/>
      <c r="BV198" s="436"/>
      <c r="BW198" s="436"/>
      <c r="BX198" s="436"/>
      <c r="BY198" s="436"/>
      <c r="BZ198" s="436"/>
      <c r="CA198" s="436"/>
      <c r="CB198" s="436"/>
      <c r="CC198" s="436"/>
      <c r="CD198" s="436"/>
      <c r="CE198" s="437">
        <f>SUM(IF(COLUMN($C198:$CD198)&lt;(3+'2、试卷（期末）'!$B$2),$C198:$CD198,))</f>
        <v>0</v>
      </c>
      <c r="CF198" s="437">
        <f>SUM(IF(COLUMN($C198:$CD198)&lt;(3+SUM('2、试卷（期末）'!$B$2:$B$3)),$C198:$CD198,))-$CE198</f>
        <v>0</v>
      </c>
      <c r="CG198" s="437">
        <f>SUM(IF(COLUMN($C198:$CD198)&lt;(3+SUM('2、试卷（期末）'!$B$2:$B$4)),$C198:$CD198,))-SUM($CE198:$CF198)</f>
        <v>0</v>
      </c>
      <c r="CH198" s="437">
        <f>SUM(IF(COLUMN($C198:$CD198)&lt;(3+SUM('2、试卷（期末）'!$B$2:$B$5)),$C198:$CD198,))-SUM($CE198:$CG198)</f>
        <v>0</v>
      </c>
      <c r="CI198" s="437">
        <f>SUM(IF(COLUMN($C198:$CD198)&lt;(3+SUM('2、试卷（期末）'!$B$2:$B$6)),$C198:$CD198,))-SUM($CE198:$CH198)</f>
        <v>0</v>
      </c>
      <c r="CJ198" s="437">
        <f>SUM(IF(COLUMN($C198:$CD198)&lt;(3+SUM('2、试卷（期末）'!$B$2:$B$7)),$C198:$CD198,))-SUM($CE198:$CI198)</f>
        <v>0</v>
      </c>
      <c r="CK198" s="437">
        <f>SUM(IF(COLUMN($C198:$CD198)&lt;(3+SUM('2、试卷（期末）'!$B$2:$B$8)),$C198:$CD198,))-SUM($CE198:$CJ198)</f>
        <v>0</v>
      </c>
      <c r="CL198" s="437">
        <f>SUM(IF(COLUMN($C198:$CD198)&lt;(3+SUM('2、试卷（期末）'!$B$2:$B$9)),$C198:$CD198,))-SUM($CE198:$CK198)</f>
        <v>0</v>
      </c>
      <c r="CM198" s="437">
        <f>SUM(IF(COLUMN($C198:$CD198)&lt;(3+SUM('2、试卷（期末）'!$B$2:$B$10)),$C198:$CD198,))-SUM($CE198:$CL198)</f>
        <v>0</v>
      </c>
      <c r="CN198" s="437">
        <f>SUM(IF(COLUMN($C198:$CD198)&lt;(3+SUM('2、试卷（期末）'!$B$2:$B$11)),$C198:$CD198,))-SUM($CE198:$CM198)</f>
        <v>0</v>
      </c>
      <c r="CO198" s="437">
        <f t="shared" si="5"/>
        <v>0</v>
      </c>
      <c r="CP198" s="438">
        <f ca="1">ROUND(CO198*'1、课程目标与考核方式'!$H$13/100+IF(ISERROR(VLOOKUP(A198,'4、平时成绩'!$A$2:$H$201,8,FALSE)),0,VLOOKUP(A198,'4、平时成绩'!$A$2:$H$201,8,FALSE)),0)</f>
        <v>0</v>
      </c>
    </row>
    <row r="199" s="32" customFormat="1" spans="1:94">
      <c r="A199" s="443"/>
      <c r="B199" s="443"/>
      <c r="C199" s="436"/>
      <c r="D199" s="436"/>
      <c r="E199" s="436"/>
      <c r="F199" s="436"/>
      <c r="G199" s="436"/>
      <c r="H199" s="436"/>
      <c r="I199" s="436"/>
      <c r="J199" s="436"/>
      <c r="K199" s="436"/>
      <c r="L199" s="436"/>
      <c r="M199" s="436"/>
      <c r="N199" s="436"/>
      <c r="O199" s="436"/>
      <c r="P199" s="436"/>
      <c r="Q199" s="436"/>
      <c r="R199" s="436"/>
      <c r="S199" s="436"/>
      <c r="T199" s="436"/>
      <c r="U199" s="436"/>
      <c r="V199" s="436"/>
      <c r="W199" s="436"/>
      <c r="X199" s="436"/>
      <c r="Y199" s="436"/>
      <c r="Z199" s="436"/>
      <c r="AA199" s="436"/>
      <c r="AB199" s="436"/>
      <c r="AC199" s="436"/>
      <c r="AD199" s="436"/>
      <c r="AE199" s="436"/>
      <c r="AF199" s="436"/>
      <c r="AG199" s="436"/>
      <c r="AH199" s="436"/>
      <c r="AI199" s="436"/>
      <c r="AJ199" s="436"/>
      <c r="AK199" s="436"/>
      <c r="AL199" s="436"/>
      <c r="AM199" s="436"/>
      <c r="AN199" s="436"/>
      <c r="AO199" s="436"/>
      <c r="AP199" s="436"/>
      <c r="AQ199" s="436"/>
      <c r="AR199" s="436"/>
      <c r="AS199" s="436"/>
      <c r="AT199" s="436"/>
      <c r="AU199" s="436"/>
      <c r="AV199" s="436"/>
      <c r="AW199" s="436"/>
      <c r="AX199" s="436"/>
      <c r="AY199" s="436"/>
      <c r="AZ199" s="436"/>
      <c r="BA199" s="436"/>
      <c r="BB199" s="436"/>
      <c r="BC199" s="436"/>
      <c r="BD199" s="436"/>
      <c r="BE199" s="436"/>
      <c r="BF199" s="436"/>
      <c r="BG199" s="436"/>
      <c r="BH199" s="436"/>
      <c r="BI199" s="436"/>
      <c r="BJ199" s="436"/>
      <c r="BK199" s="436"/>
      <c r="BL199" s="436"/>
      <c r="BM199" s="436"/>
      <c r="BN199" s="436"/>
      <c r="BO199" s="436"/>
      <c r="BP199" s="436"/>
      <c r="BQ199" s="436"/>
      <c r="BR199" s="436"/>
      <c r="BS199" s="436"/>
      <c r="BT199" s="436"/>
      <c r="BU199" s="436"/>
      <c r="BV199" s="436"/>
      <c r="BW199" s="436"/>
      <c r="BX199" s="436"/>
      <c r="BY199" s="436"/>
      <c r="BZ199" s="436"/>
      <c r="CA199" s="436"/>
      <c r="CB199" s="436"/>
      <c r="CC199" s="436"/>
      <c r="CD199" s="436"/>
      <c r="CE199" s="437">
        <f>SUM(IF(COLUMN($C199:$CD199)&lt;(3+'2、试卷（期末）'!$B$2),$C199:$CD199,))</f>
        <v>0</v>
      </c>
      <c r="CF199" s="437">
        <f>SUM(IF(COLUMN($C199:$CD199)&lt;(3+SUM('2、试卷（期末）'!$B$2:$B$3)),$C199:$CD199,))-$CE199</f>
        <v>0</v>
      </c>
      <c r="CG199" s="437">
        <f>SUM(IF(COLUMN($C199:$CD199)&lt;(3+SUM('2、试卷（期末）'!$B$2:$B$4)),$C199:$CD199,))-SUM($CE199:$CF199)</f>
        <v>0</v>
      </c>
      <c r="CH199" s="437">
        <f>SUM(IF(COLUMN($C199:$CD199)&lt;(3+SUM('2、试卷（期末）'!$B$2:$B$5)),$C199:$CD199,))-SUM($CE199:$CG199)</f>
        <v>0</v>
      </c>
      <c r="CI199" s="437">
        <f>SUM(IF(COLUMN($C199:$CD199)&lt;(3+SUM('2、试卷（期末）'!$B$2:$B$6)),$C199:$CD199,))-SUM($CE199:$CH199)</f>
        <v>0</v>
      </c>
      <c r="CJ199" s="437">
        <f>SUM(IF(COLUMN($C199:$CD199)&lt;(3+SUM('2、试卷（期末）'!$B$2:$B$7)),$C199:$CD199,))-SUM($CE199:$CI199)</f>
        <v>0</v>
      </c>
      <c r="CK199" s="437">
        <f>SUM(IF(COLUMN($C199:$CD199)&lt;(3+SUM('2、试卷（期末）'!$B$2:$B$8)),$C199:$CD199,))-SUM($CE199:$CJ199)</f>
        <v>0</v>
      </c>
      <c r="CL199" s="437">
        <f>SUM(IF(COLUMN($C199:$CD199)&lt;(3+SUM('2、试卷（期末）'!$B$2:$B$9)),$C199:$CD199,))-SUM($CE199:$CK199)</f>
        <v>0</v>
      </c>
      <c r="CM199" s="437">
        <f>SUM(IF(COLUMN($C199:$CD199)&lt;(3+SUM('2、试卷（期末）'!$B$2:$B$10)),$C199:$CD199,))-SUM($CE199:$CL199)</f>
        <v>0</v>
      </c>
      <c r="CN199" s="437">
        <f>SUM(IF(COLUMN($C199:$CD199)&lt;(3+SUM('2、试卷（期末）'!$B$2:$B$11)),$C199:$CD199,))-SUM($CE199:$CM199)</f>
        <v>0</v>
      </c>
      <c r="CO199" s="437">
        <f t="shared" si="5"/>
        <v>0</v>
      </c>
      <c r="CP199" s="438">
        <f ca="1">ROUND(CO199*'1、课程目标与考核方式'!$H$13/100+IF(ISERROR(VLOOKUP(A199,'4、平时成绩'!$A$2:$H$201,8,FALSE)),0,VLOOKUP(A199,'4、平时成绩'!$A$2:$H$201,8,FALSE)),0)</f>
        <v>0</v>
      </c>
    </row>
    <row r="200" s="32" customFormat="1" spans="1:94">
      <c r="A200" s="443"/>
      <c r="B200" s="443"/>
      <c r="C200" s="436"/>
      <c r="D200" s="436"/>
      <c r="E200" s="436"/>
      <c r="F200" s="436"/>
      <c r="G200" s="436"/>
      <c r="H200" s="436"/>
      <c r="I200" s="436"/>
      <c r="J200" s="436"/>
      <c r="K200" s="436"/>
      <c r="L200" s="436"/>
      <c r="M200" s="436"/>
      <c r="N200" s="436"/>
      <c r="O200" s="436"/>
      <c r="P200" s="436"/>
      <c r="Q200" s="436"/>
      <c r="R200" s="436"/>
      <c r="S200" s="436"/>
      <c r="T200" s="436"/>
      <c r="U200" s="436"/>
      <c r="V200" s="436"/>
      <c r="W200" s="436"/>
      <c r="X200" s="436"/>
      <c r="Y200" s="436"/>
      <c r="Z200" s="436"/>
      <c r="AA200" s="436"/>
      <c r="AB200" s="436"/>
      <c r="AC200" s="436"/>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6"/>
      <c r="AY200" s="436"/>
      <c r="AZ200" s="436"/>
      <c r="BA200" s="436"/>
      <c r="BB200" s="436"/>
      <c r="BC200" s="436"/>
      <c r="BD200" s="436"/>
      <c r="BE200" s="436"/>
      <c r="BF200" s="436"/>
      <c r="BG200" s="436"/>
      <c r="BH200" s="436"/>
      <c r="BI200" s="436"/>
      <c r="BJ200" s="436"/>
      <c r="BK200" s="436"/>
      <c r="BL200" s="436"/>
      <c r="BM200" s="436"/>
      <c r="BN200" s="436"/>
      <c r="BO200" s="436"/>
      <c r="BP200" s="436"/>
      <c r="BQ200" s="436"/>
      <c r="BR200" s="436"/>
      <c r="BS200" s="436"/>
      <c r="BT200" s="436"/>
      <c r="BU200" s="436"/>
      <c r="BV200" s="436"/>
      <c r="BW200" s="436"/>
      <c r="BX200" s="436"/>
      <c r="BY200" s="436"/>
      <c r="BZ200" s="436"/>
      <c r="CA200" s="436"/>
      <c r="CB200" s="436"/>
      <c r="CC200" s="436"/>
      <c r="CD200" s="436"/>
      <c r="CE200" s="437">
        <f>SUM(IF(COLUMN($C200:$CD200)&lt;(3+'2、试卷（期末）'!$B$2),$C200:$CD200,))</f>
        <v>0</v>
      </c>
      <c r="CF200" s="437">
        <f>SUM(IF(COLUMN($C200:$CD200)&lt;(3+SUM('2、试卷（期末）'!$B$2:$B$3)),$C200:$CD200,))-$CE200</f>
        <v>0</v>
      </c>
      <c r="CG200" s="437">
        <f>SUM(IF(COLUMN($C200:$CD200)&lt;(3+SUM('2、试卷（期末）'!$B$2:$B$4)),$C200:$CD200,))-SUM($CE200:$CF200)</f>
        <v>0</v>
      </c>
      <c r="CH200" s="437">
        <f>SUM(IF(COLUMN($C200:$CD200)&lt;(3+SUM('2、试卷（期末）'!$B$2:$B$5)),$C200:$CD200,))-SUM($CE200:$CG200)</f>
        <v>0</v>
      </c>
      <c r="CI200" s="437">
        <f>SUM(IF(COLUMN($C200:$CD200)&lt;(3+SUM('2、试卷（期末）'!$B$2:$B$6)),$C200:$CD200,))-SUM($CE200:$CH200)</f>
        <v>0</v>
      </c>
      <c r="CJ200" s="437">
        <f>SUM(IF(COLUMN($C200:$CD200)&lt;(3+SUM('2、试卷（期末）'!$B$2:$B$7)),$C200:$CD200,))-SUM($CE200:$CI200)</f>
        <v>0</v>
      </c>
      <c r="CK200" s="437">
        <f>SUM(IF(COLUMN($C200:$CD200)&lt;(3+SUM('2、试卷（期末）'!$B$2:$B$8)),$C200:$CD200,))-SUM($CE200:$CJ200)</f>
        <v>0</v>
      </c>
      <c r="CL200" s="437">
        <f>SUM(IF(COLUMN($C200:$CD200)&lt;(3+SUM('2、试卷（期末）'!$B$2:$B$9)),$C200:$CD200,))-SUM($CE200:$CK200)</f>
        <v>0</v>
      </c>
      <c r="CM200" s="437">
        <f>SUM(IF(COLUMN($C200:$CD200)&lt;(3+SUM('2、试卷（期末）'!$B$2:$B$10)),$C200:$CD200,))-SUM($CE200:$CL200)</f>
        <v>0</v>
      </c>
      <c r="CN200" s="437">
        <f>SUM(IF(COLUMN($C200:$CD200)&lt;(3+SUM('2、试卷（期末）'!$B$2:$B$11)),$C200:$CD200,))-SUM($CE200:$CM200)</f>
        <v>0</v>
      </c>
      <c r="CO200" s="437">
        <f t="shared" si="5"/>
        <v>0</v>
      </c>
      <c r="CP200" s="438">
        <f ca="1">ROUND(CO200*'1、课程目标与考核方式'!$H$13/100+IF(ISERROR(VLOOKUP(A200,'4、平时成绩'!$A$2:$H$201,8,FALSE)),0,VLOOKUP(A200,'4、平时成绩'!$A$2:$H$201,8,FALSE)),0)</f>
        <v>0</v>
      </c>
    </row>
    <row r="201" s="32" customFormat="1" spans="1:94">
      <c r="A201" s="443"/>
      <c r="B201" s="443"/>
      <c r="C201" s="436"/>
      <c r="D201" s="436"/>
      <c r="E201" s="436"/>
      <c r="F201" s="436"/>
      <c r="G201" s="436"/>
      <c r="H201" s="436"/>
      <c r="I201" s="436"/>
      <c r="J201" s="436"/>
      <c r="K201" s="436"/>
      <c r="L201" s="436"/>
      <c r="M201" s="436"/>
      <c r="N201" s="436"/>
      <c r="O201" s="436"/>
      <c r="P201" s="436"/>
      <c r="Q201" s="436"/>
      <c r="R201" s="436"/>
      <c r="S201" s="436"/>
      <c r="T201" s="436"/>
      <c r="U201" s="436"/>
      <c r="V201" s="436"/>
      <c r="W201" s="436"/>
      <c r="X201" s="436"/>
      <c r="Y201" s="436"/>
      <c r="Z201" s="436"/>
      <c r="AA201" s="436"/>
      <c r="AB201" s="436"/>
      <c r="AC201" s="436"/>
      <c r="AD201" s="436"/>
      <c r="AE201" s="436"/>
      <c r="AF201" s="436"/>
      <c r="AG201" s="436"/>
      <c r="AH201" s="436"/>
      <c r="AI201" s="436"/>
      <c r="AJ201" s="436"/>
      <c r="AK201" s="436"/>
      <c r="AL201" s="436"/>
      <c r="AM201" s="436"/>
      <c r="AN201" s="436"/>
      <c r="AO201" s="436"/>
      <c r="AP201" s="436"/>
      <c r="AQ201" s="436"/>
      <c r="AR201" s="436"/>
      <c r="AS201" s="436"/>
      <c r="AT201" s="436"/>
      <c r="AU201" s="436"/>
      <c r="AV201" s="436"/>
      <c r="AW201" s="436"/>
      <c r="AX201" s="436"/>
      <c r="AY201" s="436"/>
      <c r="AZ201" s="436"/>
      <c r="BA201" s="436"/>
      <c r="BB201" s="436"/>
      <c r="BC201" s="436"/>
      <c r="BD201" s="436"/>
      <c r="BE201" s="436"/>
      <c r="BF201" s="436"/>
      <c r="BG201" s="436"/>
      <c r="BH201" s="436"/>
      <c r="BI201" s="436"/>
      <c r="BJ201" s="436"/>
      <c r="BK201" s="436"/>
      <c r="BL201" s="436"/>
      <c r="BM201" s="436"/>
      <c r="BN201" s="436"/>
      <c r="BO201" s="436"/>
      <c r="BP201" s="436"/>
      <c r="BQ201" s="436"/>
      <c r="BR201" s="436"/>
      <c r="BS201" s="436"/>
      <c r="BT201" s="436"/>
      <c r="BU201" s="436"/>
      <c r="BV201" s="436"/>
      <c r="BW201" s="436"/>
      <c r="BX201" s="436"/>
      <c r="BY201" s="436"/>
      <c r="BZ201" s="436"/>
      <c r="CA201" s="436"/>
      <c r="CB201" s="436"/>
      <c r="CC201" s="436"/>
      <c r="CD201" s="436"/>
      <c r="CE201" s="437">
        <f>SUM(IF(COLUMN($C201:$CD201)&lt;(3+'2、试卷（期末）'!$B$2),$C201:$CD201,))</f>
        <v>0</v>
      </c>
      <c r="CF201" s="437">
        <f>SUM(IF(COLUMN($C201:$CD201)&lt;(3+SUM('2、试卷（期末）'!$B$2:$B$3)),$C201:$CD201,))-$CE201</f>
        <v>0</v>
      </c>
      <c r="CG201" s="437">
        <f>SUM(IF(COLUMN($C201:$CD201)&lt;(3+SUM('2、试卷（期末）'!$B$2:$B$4)),$C201:$CD201,))-SUM($CE201:$CF201)</f>
        <v>0</v>
      </c>
      <c r="CH201" s="437">
        <f>SUM(IF(COLUMN($C201:$CD201)&lt;(3+SUM('2、试卷（期末）'!$B$2:$B$5)),$C201:$CD201,))-SUM($CE201:$CG201)</f>
        <v>0</v>
      </c>
      <c r="CI201" s="437">
        <f>SUM(IF(COLUMN($C201:$CD201)&lt;(3+SUM('2、试卷（期末）'!$B$2:$B$6)),$C201:$CD201,))-SUM($CE201:$CH201)</f>
        <v>0</v>
      </c>
      <c r="CJ201" s="437">
        <f>SUM(IF(COLUMN($C201:$CD201)&lt;(3+SUM('2、试卷（期末）'!$B$2:$B$7)),$C201:$CD201,))-SUM($CE201:$CI201)</f>
        <v>0</v>
      </c>
      <c r="CK201" s="437">
        <f>SUM(IF(COLUMN($C201:$CD201)&lt;(3+SUM('2、试卷（期末）'!$B$2:$B$8)),$C201:$CD201,))-SUM($CE201:$CJ201)</f>
        <v>0</v>
      </c>
      <c r="CL201" s="437">
        <f>SUM(IF(COLUMN($C201:$CD201)&lt;(3+SUM('2、试卷（期末）'!$B$2:$B$9)),$C201:$CD201,))-SUM($CE201:$CK201)</f>
        <v>0</v>
      </c>
      <c r="CM201" s="437">
        <f>SUM(IF(COLUMN($C201:$CD201)&lt;(3+SUM('2、试卷（期末）'!$B$2:$B$10)),$C201:$CD201,))-SUM($CE201:$CL201)</f>
        <v>0</v>
      </c>
      <c r="CN201" s="437">
        <f>SUM(IF(COLUMN($C201:$CD201)&lt;(3+SUM('2、试卷（期末）'!$B$2:$B$11)),$C201:$CD201,))-SUM($CE201:$CM201)</f>
        <v>0</v>
      </c>
      <c r="CO201" s="437">
        <f t="shared" si="5"/>
        <v>0</v>
      </c>
      <c r="CP201" s="438">
        <f ca="1">ROUND(CO201*'1、课程目标与考核方式'!$H$13/100+IF(ISERROR(VLOOKUP(A201,'4、平时成绩'!$A$2:$H$201,8,FALSE)),0,VLOOKUP(A201,'4、平时成绩'!$A$2:$H$201,8,FALSE)),0)</f>
        <v>0</v>
      </c>
    </row>
  </sheetData>
  <sheetProtection password="DE0E" sheet="1" selectLockedCells="1" objects="1"/>
  <protectedRanges>
    <protectedRange sqref="W2:AE123 AF2:CD201 V124:AE201 A72:U201" name="期末试卷原始成绩表"/>
    <protectedRange sqref="W2:AE123 A2:U201 AF2:CD201 V124:AE201 C3:E3 C50:E51 C3:G3" name="期末试卷原始成绩表_1"/>
    <protectedRange sqref="A2:B69" name="期末试卷原始成绩表_2_1"/>
    <protectedRange sqref="A2:U71 C3:E3 C50:E51 C3:G3" name="期末试卷原始成绩表_2"/>
    <protectedRange sqref="A2:E35 C3:E3" name="期末试卷原始成绩表_1_1"/>
    <protectedRange sqref="A2:B69" name="期末试卷原始成绩表_2_2"/>
  </protectedRanges>
  <conditionalFormatting sqref="CO2:CO201">
    <cfRule type="cellIs" dxfId="1" priority="1" stopIfTrue="1" operator="between">
      <formula>0.01</formula>
      <formula>59</formula>
    </cfRule>
  </conditionalFormatting>
  <conditionalFormatting sqref="CP2:CP201">
    <cfRule type="cellIs" dxfId="1" priority="2" stopIfTrue="1" operator="between">
      <formula>0.01</formula>
      <formula>59</formula>
    </cfRule>
  </conditionalFormatting>
  <pageMargins left="0.699305555555556" right="0.699305555555556" top="0.75" bottom="0.75" header="0.3" footer="0.3"/>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70C0"/>
  </sheetPr>
  <dimension ref="A1:V201"/>
  <sheetViews>
    <sheetView zoomScale="80" zoomScaleNormal="80" workbookViewId="0">
      <selection activeCell="D9" sqref="D9"/>
    </sheetView>
  </sheetViews>
  <sheetFormatPr defaultColWidth="9" defaultRowHeight="14"/>
  <cols>
    <col min="1" max="2" width="9" style="420"/>
    <col min="3" max="3" width="9.66666666666667" style="421" customWidth="1"/>
    <col min="4" max="4" width="9" style="421"/>
    <col min="5" max="5" width="10.25" style="421" customWidth="1"/>
    <col min="6" max="6" width="10.1666666666667" style="422" customWidth="1"/>
    <col min="7" max="7" width="10.3333333333333" style="422" customWidth="1"/>
    <col min="8" max="8" width="9" style="420" customWidth="1"/>
    <col min="9" max="9" width="17.9166666666667" style="420" customWidth="1"/>
    <col min="10" max="10" width="16.0833333333333" style="420" customWidth="1"/>
    <col min="11" max="11" width="12.3333333333333" style="420" customWidth="1"/>
    <col min="12" max="12" width="7" style="420" hidden="1" customWidth="1"/>
    <col min="13" max="13" width="6.44166666666667" style="420" hidden="1" customWidth="1"/>
    <col min="14" max="14" width="5.88333333333333" style="420" hidden="1" customWidth="1"/>
    <col min="15" max="15" width="6.10833333333333" style="420" hidden="1" customWidth="1"/>
    <col min="16" max="16" width="6.44166666666667" style="420" hidden="1" customWidth="1"/>
    <col min="17" max="17" width="6.66666666666667" style="420" hidden="1" customWidth="1"/>
    <col min="18" max="18" width="6.33333333333333" style="420" hidden="1" customWidth="1"/>
    <col min="19" max="19" width="6.66666666666667" style="420" hidden="1" customWidth="1"/>
    <col min="20" max="20" width="5.775" style="420" hidden="1" customWidth="1"/>
    <col min="21" max="21" width="7.10833333333333" style="420" hidden="1" customWidth="1"/>
    <col min="22" max="23" width="9" style="420" hidden="1" customWidth="1"/>
    <col min="24" max="16384" width="9" style="246"/>
  </cols>
  <sheetData>
    <row r="1" spans="1:21">
      <c r="A1" s="241" t="s">
        <v>306</v>
      </c>
      <c r="B1" s="241" t="s">
        <v>307</v>
      </c>
      <c r="C1" s="423" t="str">
        <f>IF(ISBLANK('1、课程目标与考核方式'!C2)," 此列可清空",'1、课程目标与考核方式'!C2)</f>
        <v>平时作业</v>
      </c>
      <c r="D1" s="423">
        <f>IF(ISBLANK('1、课程目标与考核方式'!D2)," 此列可清空",'1、课程目标与考核方式'!D2)</f>
        <v>1</v>
      </c>
      <c r="E1" s="423" t="str">
        <f>IF(ISBLANK('1、课程目标与考核方式'!E2)," 此列可清空",'1、课程目标与考核方式'!E2)</f>
        <v> 此列可清空</v>
      </c>
      <c r="F1" s="423" t="str">
        <f>IF(ISBLANK('1、课程目标与考核方式'!F2)," 此列可清空",'1、课程目标与考核方式'!F2)</f>
        <v> 此列可清空</v>
      </c>
      <c r="G1" s="423" t="str">
        <f>IF(ISBLANK('1、课程目标与考核方式'!G2)," 此列可清空",'1、课程目标与考核方式'!G2)</f>
        <v> 此列可清空</v>
      </c>
      <c r="H1" s="424" t="s">
        <v>308</v>
      </c>
      <c r="I1" s="424" t="str">
        <f>"平时成绩百分制"&amp;SUM('1、课程目标与考核方式'!$C$13:$G$13)&amp;"%"</f>
        <v>平时成绩百分制27%</v>
      </c>
      <c r="J1" s="428" t="str">
        <f>"期末试卷总分"&amp;'1、课程目标与考核方式'!H13&amp;"%"</f>
        <v>期末试卷总分50%</v>
      </c>
      <c r="K1" s="428" t="s">
        <v>165</v>
      </c>
      <c r="L1" s="428" t="s">
        <v>309</v>
      </c>
      <c r="M1" s="428" t="s">
        <v>310</v>
      </c>
      <c r="N1" s="428" t="s">
        <v>311</v>
      </c>
      <c r="O1" s="428" t="s">
        <v>312</v>
      </c>
      <c r="P1" s="428" t="s">
        <v>313</v>
      </c>
      <c r="Q1" s="428" t="s">
        <v>314</v>
      </c>
      <c r="R1" s="428" t="s">
        <v>315</v>
      </c>
      <c r="S1" s="428" t="s">
        <v>316</v>
      </c>
      <c r="T1" s="428" t="s">
        <v>317</v>
      </c>
      <c r="U1" s="428" t="s">
        <v>318</v>
      </c>
    </row>
    <row r="2" spans="1:22">
      <c r="A2" s="243" t="str">
        <f>IF(ISBLANK('3、期末成绩'!A2)," ",'3、期末成绩'!A2)</f>
        <v>1653101</v>
      </c>
      <c r="B2" s="244" t="str">
        <f>IF(A2=" "," ",VLOOKUP(A2,'3、期末成绩'!$A$2:$B$201,2,FALSE))</f>
        <v>颜臻珑</v>
      </c>
      <c r="C2" s="425">
        <f ca="1">60+RANDBETWEEN(0,40)</f>
        <v>78</v>
      </c>
      <c r="D2" s="425">
        <f ca="1">60+RANDBETWEEN(0,40)</f>
        <v>93</v>
      </c>
      <c r="E2" s="426"/>
      <c r="F2" s="427"/>
      <c r="G2" s="427"/>
      <c r="H2" s="424">
        <f ca="1">IF(A2=" "," ",SUMPRODUCT($C2:$G2,'1、课程目标与考核方式'!$C$13:$G$13)/100)</f>
        <v>22.86</v>
      </c>
      <c r="I2" s="424">
        <f ca="1">IF(A2=" "," ",ROUND(H2/SUM('1、课程目标与考核方式'!$C$13:$G$13)*'1、课程目标与考核方式'!$I$13,0))</f>
        <v>65</v>
      </c>
      <c r="J2" s="420">
        <f>IF(ISBLANK('3、期末成绩'!CO2)," ",'3、期末成绩'!CO2)</f>
        <v>95</v>
      </c>
      <c r="K2" s="420">
        <f ca="1">IF(ISBLANK('3、期末成绩'!CP2)," ",'3、期末成绩'!CP2)</f>
        <v>70</v>
      </c>
      <c r="L2" s="420">
        <f>IF(ISBLANK('3、期末成绩'!CE2)," ",'3、期末成绩'!CE2)</f>
        <v>95</v>
      </c>
      <c r="M2" s="420">
        <f>IF(ISBLANK('3、期末成绩'!CF2)," ",'3、期末成绩'!CF2)</f>
        <v>0</v>
      </c>
      <c r="N2" s="420">
        <f>IF(ISBLANK('3、期末成绩'!CG2)," ",'3、期末成绩'!CG2)</f>
        <v>0</v>
      </c>
      <c r="O2" s="420">
        <f>IF(ISBLANK('3、期末成绩'!CH2)," ",'3、期末成绩'!CH2)</f>
        <v>0</v>
      </c>
      <c r="P2" s="420">
        <f>IF(ISBLANK('3、期末成绩'!CI2)," ",'3、期末成绩'!CI2)</f>
        <v>0</v>
      </c>
      <c r="Q2" s="420">
        <f>IF(ISBLANK('3、期末成绩'!CJ2)," ",'3、期末成绩'!CJ2)</f>
        <v>0</v>
      </c>
      <c r="R2" s="420">
        <f>IF(ISBLANK('3、期末成绩'!CK2)," ",'3、期末成绩'!CK2)</f>
        <v>0</v>
      </c>
      <c r="S2" s="420">
        <f>IF(ISBLANK('3、期末成绩'!CL2)," ",'3、期末成绩'!CL2)</f>
        <v>0</v>
      </c>
      <c r="T2" s="420">
        <f>IF(ISBLANK('3、期末成绩'!CM2)," ",'3、期末成绩'!CM2)</f>
        <v>0</v>
      </c>
      <c r="U2" s="420">
        <f>IF(ISBLANK('3、期末成绩'!CN2)," ",'3、期末成绩'!CN2)</f>
        <v>0</v>
      </c>
      <c r="V2" s="420">
        <v>90</v>
      </c>
    </row>
    <row r="3" spans="1:22">
      <c r="A3" s="243" t="str">
        <f>IF(ISBLANK('3、期末成绩'!A3)," ",'3、期末成绩'!A3)</f>
        <v>1653102</v>
      </c>
      <c r="B3" s="244" t="str">
        <f>IF(A3=" "," ",VLOOKUP(A3,'3、期末成绩'!$A$2:$B$201,2,FALSE))</f>
        <v>陈沁怡</v>
      </c>
      <c r="C3" s="425">
        <f ca="1" t="shared" ref="C3:C12" si="0">60+RANDBETWEEN(0,40)</f>
        <v>90</v>
      </c>
      <c r="D3" s="425">
        <f ca="1" t="shared" ref="D3:D12" si="1">60+RANDBETWEEN(0,40)</f>
        <v>69</v>
      </c>
      <c r="E3" s="426"/>
      <c r="F3" s="427"/>
      <c r="G3" s="427"/>
      <c r="H3" s="424">
        <f ca="1">IF(A3=" "," ",SUMPRODUCT($C3:$G3,'1、课程目标与考核方式'!$C$13:$G$13)/100)</f>
        <v>21.78</v>
      </c>
      <c r="I3" s="424">
        <f ca="1">IF(A3=" "," ",ROUND(H3/SUM('1、课程目标与考核方式'!$C$13:$G$13)*'1、课程目标与考核方式'!$I$13,0))</f>
        <v>62</v>
      </c>
      <c r="J3" s="420">
        <f>IF(ISBLANK('3、期末成绩'!CO3)," ",'3、期末成绩'!CO3)</f>
        <v>95</v>
      </c>
      <c r="K3" s="420">
        <f ca="1">IF(ISBLANK('3、期末成绩'!CP3)," ",'3、期末成绩'!CP3)</f>
        <v>69</v>
      </c>
      <c r="L3" s="420">
        <f>IF(ISBLANK('3、期末成绩'!CE3)," ",'3、期末成绩'!CE3)</f>
        <v>1</v>
      </c>
      <c r="M3" s="420">
        <f>IF(ISBLANK('3、期末成绩'!CF3)," ",'3、期末成绩'!CF3)</f>
        <v>1</v>
      </c>
      <c r="N3" s="420">
        <f>IF(ISBLANK('3、期末成绩'!CG3)," ",'3、期末成绩'!CG3)</f>
        <v>1</v>
      </c>
      <c r="O3" s="420">
        <f>IF(ISBLANK('3、期末成绩'!CH3)," ",'3、期末成绩'!CH3)</f>
        <v>1</v>
      </c>
      <c r="P3" s="420">
        <f>IF(ISBLANK('3、期末成绩'!CI3)," ",'3、期末成绩'!CI3)</f>
        <v>1</v>
      </c>
      <c r="Q3" s="420">
        <f>IF(ISBLANK('3、期末成绩'!CJ3)," ",'3、期末成绩'!CJ3)</f>
        <v>1</v>
      </c>
      <c r="R3" s="420">
        <f>IF(ISBLANK('3、期末成绩'!CK3)," ",'3、期末成绩'!CK3)</f>
        <v>1</v>
      </c>
      <c r="S3" s="420">
        <f>IF(ISBLANK('3、期末成绩'!CL3)," ",'3、期末成绩'!CL3)</f>
        <v>1</v>
      </c>
      <c r="T3" s="420">
        <f>IF(ISBLANK('3、期末成绩'!CM3)," ",'3、期末成绩'!CM3)</f>
        <v>1</v>
      </c>
      <c r="U3" s="420">
        <f>IF(ISBLANK('3、期末成绩'!CN3)," ",'3、期末成绩'!CN3)</f>
        <v>1</v>
      </c>
      <c r="V3" s="420">
        <v>51</v>
      </c>
    </row>
    <row r="4" spans="1:22">
      <c r="A4" s="243" t="str">
        <f>IF(ISBLANK('3、期末成绩'!A4)," ",'3、期末成绩'!A4)</f>
        <v>1653103</v>
      </c>
      <c r="B4" s="244" t="str">
        <f>IF(A4=" "," ",VLOOKUP(A4,'3、期末成绩'!$A$2:$B$201,2,FALSE))</f>
        <v>邓伊凡</v>
      </c>
      <c r="C4" s="425">
        <f ca="1" t="shared" si="0"/>
        <v>82</v>
      </c>
      <c r="D4" s="425">
        <f ca="1" t="shared" si="1"/>
        <v>80</v>
      </c>
      <c r="E4" s="426"/>
      <c r="F4" s="427"/>
      <c r="G4" s="427"/>
      <c r="H4" s="424">
        <f ca="1">IF(A4=" "," ",SUMPRODUCT($C4:$G4,'1、课程目标与考核方式'!$C$13:$G$13)/100)</f>
        <v>21.9</v>
      </c>
      <c r="I4" s="424">
        <f ca="1">IF(A4=" "," ",ROUND(H4/SUM('1、课程目标与考核方式'!$C$13:$G$13)*'1、课程目标与考核方式'!$I$13,0))</f>
        <v>62</v>
      </c>
      <c r="J4" s="420">
        <f>IF(ISBLANK('3、期末成绩'!CO4)," ",'3、期末成绩'!CO4)</f>
        <v>95</v>
      </c>
      <c r="K4" s="420">
        <f ca="1">IF(ISBLANK('3、期末成绩'!CP4)," ",'3、期末成绩'!CP4)</f>
        <v>69</v>
      </c>
      <c r="L4" s="420">
        <f>IF(ISBLANK('3、期末成绩'!CE4)," ",'3、期末成绩'!CE4)</f>
        <v>2</v>
      </c>
      <c r="M4" s="420">
        <f>IF(ISBLANK('3、期末成绩'!CF4)," ",'3、期末成绩'!CF4)</f>
        <v>2</v>
      </c>
      <c r="N4" s="420">
        <f>IF(ISBLANK('3、期末成绩'!CG4)," ",'3、期末成绩'!CG4)</f>
        <v>2</v>
      </c>
      <c r="O4" s="420">
        <f>IF(ISBLANK('3、期末成绩'!CH4)," ",'3、期末成绩'!CH4)</f>
        <v>2</v>
      </c>
      <c r="P4" s="420">
        <f>IF(ISBLANK('3、期末成绩'!CI4)," ",'3、期末成绩'!CI4)</f>
        <v>2</v>
      </c>
      <c r="Q4" s="420">
        <f>IF(ISBLANK('3、期末成绩'!CJ4)," ",'3、期末成绩'!CJ4)</f>
        <v>2</v>
      </c>
      <c r="R4" s="420">
        <f>IF(ISBLANK('3、期末成绩'!CK4)," ",'3、期末成绩'!CK4)</f>
        <v>2</v>
      </c>
      <c r="S4" s="420">
        <f>IF(ISBLANK('3、期末成绩'!CL4)," ",'3、期末成绩'!CL4)</f>
        <v>2</v>
      </c>
      <c r="T4" s="420">
        <f>IF(ISBLANK('3、期末成绩'!CM4)," ",'3、期末成绩'!CM4)</f>
        <v>2</v>
      </c>
      <c r="U4" s="420">
        <f>IF(ISBLANK('3、期末成绩'!CN4)," ",'3、期末成绩'!CN4)</f>
        <v>2</v>
      </c>
      <c r="V4" s="420">
        <v>84</v>
      </c>
    </row>
    <row r="5" spans="1:22">
      <c r="A5" s="243" t="str">
        <f>IF(ISBLANK('3、期末成绩'!A5)," ",'3、期末成绩'!A5)</f>
        <v>1653104</v>
      </c>
      <c r="B5" s="244" t="str">
        <f>IF(A5=" "," ",VLOOKUP(A5,'3、期末成绩'!$A$2:$B$201,2,FALSE))</f>
        <v>董思佳</v>
      </c>
      <c r="C5" s="425">
        <f ca="1" t="shared" si="0"/>
        <v>68</v>
      </c>
      <c r="D5" s="425">
        <f ca="1" t="shared" si="1"/>
        <v>70</v>
      </c>
      <c r="E5" s="426"/>
      <c r="F5" s="427"/>
      <c r="G5" s="427"/>
      <c r="H5" s="424">
        <f ca="1">IF(A5=" "," ",SUMPRODUCT($C5:$G5,'1、课程目标与考核方式'!$C$13:$G$13)/100)</f>
        <v>18.6</v>
      </c>
      <c r="I5" s="424">
        <f ca="1">IF(A5=" "," ",ROUND(H5/SUM('1、课程目标与考核方式'!$C$13:$G$13)*'1、课程目标与考核方式'!$I$13,0))</f>
        <v>53</v>
      </c>
      <c r="J5" s="420">
        <f>IF(ISBLANK('3、期末成绩'!CO5)," ",'3、期末成绩'!CO5)</f>
        <v>95</v>
      </c>
      <c r="K5" s="420">
        <f ca="1">IF(ISBLANK('3、期末成绩'!CP5)," ",'3、期末成绩'!CP5)</f>
        <v>66</v>
      </c>
      <c r="L5" s="420">
        <f>IF(ISBLANK('3、期末成绩'!CE5)," ",'3、期末成绩'!CE5)</f>
        <v>3</v>
      </c>
      <c r="M5" s="420">
        <f>IF(ISBLANK('3、期末成绩'!CF5)," ",'3、期末成绩'!CF5)</f>
        <v>3</v>
      </c>
      <c r="N5" s="420">
        <f>IF(ISBLANK('3、期末成绩'!CG5)," ",'3、期末成绩'!CG5)</f>
        <v>3</v>
      </c>
      <c r="O5" s="420">
        <f>IF(ISBLANK('3、期末成绩'!CH5)," ",'3、期末成绩'!CH5)</f>
        <v>3</v>
      </c>
      <c r="P5" s="420">
        <f>IF(ISBLANK('3、期末成绩'!CI5)," ",'3、期末成绩'!CI5)</f>
        <v>3</v>
      </c>
      <c r="Q5" s="420">
        <f>IF(ISBLANK('3、期末成绩'!CJ5)," ",'3、期末成绩'!CJ5)</f>
        <v>3</v>
      </c>
      <c r="R5" s="420">
        <f>IF(ISBLANK('3、期末成绩'!CK5)," ",'3、期末成绩'!CK5)</f>
        <v>3</v>
      </c>
      <c r="S5" s="420">
        <f>IF(ISBLANK('3、期末成绩'!CL5)," ",'3、期末成绩'!CL5)</f>
        <v>3</v>
      </c>
      <c r="T5" s="420">
        <f>IF(ISBLANK('3、期末成绩'!CM5)," ",'3、期末成绩'!CM5)</f>
        <v>3</v>
      </c>
      <c r="U5" s="420">
        <f>IF(ISBLANK('3、期末成绩'!CN5)," ",'3、期末成绩'!CN5)</f>
        <v>3</v>
      </c>
      <c r="V5" s="420">
        <v>56</v>
      </c>
    </row>
    <row r="6" spans="1:22">
      <c r="A6" s="243" t="str">
        <f>IF(ISBLANK('3、期末成绩'!A6)," ",'3、期末成绩'!A6)</f>
        <v>1653105</v>
      </c>
      <c r="B6" s="244" t="str">
        <f>IF(A6=" "," ",VLOOKUP(A6,'3、期末成绩'!$A$2:$B$201,2,FALSE))</f>
        <v>姜雨涵</v>
      </c>
      <c r="C6" s="425">
        <f ca="1" t="shared" si="0"/>
        <v>95</v>
      </c>
      <c r="D6" s="425">
        <f ca="1" t="shared" si="1"/>
        <v>89</v>
      </c>
      <c r="E6" s="426"/>
      <c r="F6" s="427"/>
      <c r="G6" s="427"/>
      <c r="H6" s="424">
        <f ca="1">IF(A6=" "," ",SUMPRODUCT($C6:$G6,'1、课程目标与考核方式'!$C$13:$G$13)/100)</f>
        <v>24.93</v>
      </c>
      <c r="I6" s="424">
        <f ca="1">IF(A6=" "," ",ROUND(H6/SUM('1、课程目标与考核方式'!$C$13:$G$13)*'1、课程目标与考核方式'!$I$13,0))</f>
        <v>71</v>
      </c>
      <c r="J6" s="420">
        <f>IF(ISBLANK('3、期末成绩'!CO6)," ",'3、期末成绩'!CO6)</f>
        <v>95</v>
      </c>
      <c r="K6" s="420">
        <f ca="1">IF(ISBLANK('3、期末成绩'!CP6)," ",'3、期末成绩'!CP6)</f>
        <v>72</v>
      </c>
      <c r="L6" s="420">
        <f>IF(ISBLANK('3、期末成绩'!CE6)," ",'3、期末成绩'!CE6)</f>
        <v>4</v>
      </c>
      <c r="M6" s="420">
        <f>IF(ISBLANK('3、期末成绩'!CF6)," ",'3、期末成绩'!CF6)</f>
        <v>4</v>
      </c>
      <c r="N6" s="420">
        <f>IF(ISBLANK('3、期末成绩'!CG6)," ",'3、期末成绩'!CG6)</f>
        <v>4</v>
      </c>
      <c r="O6" s="420">
        <f>IF(ISBLANK('3、期末成绩'!CH6)," ",'3、期末成绩'!CH6)</f>
        <v>4</v>
      </c>
      <c r="P6" s="420">
        <f>IF(ISBLANK('3、期末成绩'!CI6)," ",'3、期末成绩'!CI6)</f>
        <v>4</v>
      </c>
      <c r="Q6" s="420">
        <f>IF(ISBLANK('3、期末成绩'!CJ6)," ",'3、期末成绩'!CJ6)</f>
        <v>4</v>
      </c>
      <c r="R6" s="420">
        <f>IF(ISBLANK('3、期末成绩'!CK6)," ",'3、期末成绩'!CK6)</f>
        <v>4</v>
      </c>
      <c r="S6" s="420">
        <f>IF(ISBLANK('3、期末成绩'!CL6)," ",'3、期末成绩'!CL6)</f>
        <v>4</v>
      </c>
      <c r="T6" s="420">
        <f>IF(ISBLANK('3、期末成绩'!CM6)," ",'3、期末成绩'!CM6)</f>
        <v>4</v>
      </c>
      <c r="U6" s="420">
        <f>IF(ISBLANK('3、期末成绩'!CN6)," ",'3、期末成绩'!CN6)</f>
        <v>4</v>
      </c>
      <c r="V6" s="420">
        <v>49</v>
      </c>
    </row>
    <row r="7" spans="1:22">
      <c r="A7" s="243" t="str">
        <f>IF(ISBLANK('3、期末成绩'!A7)," ",'3、期末成绩'!A7)</f>
        <v>1653106</v>
      </c>
      <c r="B7" s="244" t="str">
        <f>IF(A7=" "," ",VLOOKUP(A7,'3、期末成绩'!$A$2:$B$201,2,FALSE))</f>
        <v>杜虹樾</v>
      </c>
      <c r="C7" s="425">
        <f ca="1" t="shared" si="0"/>
        <v>86</v>
      </c>
      <c r="D7" s="425">
        <f ca="1" t="shared" si="1"/>
        <v>98</v>
      </c>
      <c r="E7" s="426"/>
      <c r="F7" s="427"/>
      <c r="G7" s="427"/>
      <c r="H7" s="424">
        <f ca="1">IF(A7=" "," ",SUMPRODUCT($C7:$G7,'1、课程目标与考核方式'!$C$13:$G$13)/100)</f>
        <v>24.66</v>
      </c>
      <c r="I7" s="424">
        <f ca="1">IF(A7=" "," ",ROUND(H7/SUM('1、课程目标与考核方式'!$C$13:$G$13)*'1、课程目标与考核方式'!$I$13,0))</f>
        <v>70</v>
      </c>
      <c r="J7" s="420">
        <f>IF(ISBLANK('3、期末成绩'!CO7)," ",'3、期末成绩'!CO7)</f>
        <v>95</v>
      </c>
      <c r="K7" s="420">
        <f ca="1">IF(ISBLANK('3、期末成绩'!CP7)," ",'3、期末成绩'!CP7)</f>
        <v>72</v>
      </c>
      <c r="L7" s="420">
        <f>IF(ISBLANK('3、期末成绩'!CE7)," ",'3、期末成绩'!CE7)</f>
        <v>5</v>
      </c>
      <c r="M7" s="420">
        <f>IF(ISBLANK('3、期末成绩'!CF7)," ",'3、期末成绩'!CF7)</f>
        <v>5</v>
      </c>
      <c r="N7" s="420">
        <f>IF(ISBLANK('3、期末成绩'!CG7)," ",'3、期末成绩'!CG7)</f>
        <v>5</v>
      </c>
      <c r="O7" s="420">
        <f>IF(ISBLANK('3、期末成绩'!CH7)," ",'3、期末成绩'!CH7)</f>
        <v>5</v>
      </c>
      <c r="P7" s="420">
        <f>IF(ISBLANK('3、期末成绩'!CI7)," ",'3、期末成绩'!CI7)</f>
        <v>5</v>
      </c>
      <c r="Q7" s="420">
        <f>IF(ISBLANK('3、期末成绩'!CJ7)," ",'3、期末成绩'!CJ7)</f>
        <v>5</v>
      </c>
      <c r="R7" s="420">
        <f>IF(ISBLANK('3、期末成绩'!CK7)," ",'3、期末成绩'!CK7)</f>
        <v>5</v>
      </c>
      <c r="S7" s="420">
        <f>IF(ISBLANK('3、期末成绩'!CL7)," ",'3、期末成绩'!CL7)</f>
        <v>5</v>
      </c>
      <c r="T7" s="420">
        <f>IF(ISBLANK('3、期末成绩'!CM7)," ",'3、期末成绩'!CM7)</f>
        <v>5</v>
      </c>
      <c r="U7" s="420">
        <f>IF(ISBLANK('3、期末成绩'!CN7)," ",'3、期末成绩'!CN7)</f>
        <v>5</v>
      </c>
      <c r="V7" s="420">
        <v>68</v>
      </c>
    </row>
    <row r="8" spans="1:22">
      <c r="A8" s="243" t="str">
        <f>IF(ISBLANK('3、期末成绩'!A8)," ",'3、期末成绩'!A8)</f>
        <v>1653107</v>
      </c>
      <c r="B8" s="244" t="str">
        <f>IF(A8=" "," ",VLOOKUP(A8,'3、期末成绩'!$A$2:$B$201,2,FALSE))</f>
        <v>张小宇</v>
      </c>
      <c r="C8" s="425">
        <f ca="1" t="shared" si="0"/>
        <v>75</v>
      </c>
      <c r="D8" s="425">
        <f ca="1" t="shared" si="1"/>
        <v>61</v>
      </c>
      <c r="E8" s="426"/>
      <c r="F8" s="427"/>
      <c r="G8" s="427"/>
      <c r="H8" s="424">
        <f ca="1">IF(A8=" "," ",SUMPRODUCT($C8:$G8,'1、课程目标与考核方式'!$C$13:$G$13)/100)</f>
        <v>18.57</v>
      </c>
      <c r="I8" s="424">
        <f ca="1">IF(A8=" "," ",ROUND(H8/SUM('1、课程目标与考核方式'!$C$13:$G$13)*'1、课程目标与考核方式'!$I$13,0))</f>
        <v>53</v>
      </c>
      <c r="J8" s="420">
        <f>IF(ISBLANK('3、期末成绩'!CO8)," ",'3、期末成绩'!CO8)</f>
        <v>95</v>
      </c>
      <c r="K8" s="420">
        <f ca="1">IF(ISBLANK('3、期末成绩'!CP8)," ",'3、期末成绩'!CP8)</f>
        <v>66</v>
      </c>
      <c r="L8" s="420">
        <f>IF(ISBLANK('3、期末成绩'!CE8)," ",'3、期末成绩'!CE8)</f>
        <v>6</v>
      </c>
      <c r="M8" s="420">
        <f>IF(ISBLANK('3、期末成绩'!CF8)," ",'3、期末成绩'!CF8)</f>
        <v>6</v>
      </c>
      <c r="N8" s="420">
        <f>IF(ISBLANK('3、期末成绩'!CG8)," ",'3、期末成绩'!CG8)</f>
        <v>6</v>
      </c>
      <c r="O8" s="420">
        <f>IF(ISBLANK('3、期末成绩'!CH8)," ",'3、期末成绩'!CH8)</f>
        <v>6</v>
      </c>
      <c r="P8" s="420">
        <f>IF(ISBLANK('3、期末成绩'!CI8)," ",'3、期末成绩'!CI8)</f>
        <v>6</v>
      </c>
      <c r="Q8" s="420">
        <f>IF(ISBLANK('3、期末成绩'!CJ8)," ",'3、期末成绩'!CJ8)</f>
        <v>6</v>
      </c>
      <c r="R8" s="420">
        <f>IF(ISBLANK('3、期末成绩'!CK8)," ",'3、期末成绩'!CK8)</f>
        <v>6</v>
      </c>
      <c r="S8" s="420">
        <f>IF(ISBLANK('3、期末成绩'!CL8)," ",'3、期末成绩'!CL8)</f>
        <v>6</v>
      </c>
      <c r="T8" s="420">
        <f>IF(ISBLANK('3、期末成绩'!CM8)," ",'3、期末成绩'!CM8)</f>
        <v>6</v>
      </c>
      <c r="U8" s="420">
        <f>IF(ISBLANK('3、期末成绩'!CN8)," ",'3、期末成绩'!CN8)</f>
        <v>6</v>
      </c>
      <c r="V8" s="420">
        <v>69</v>
      </c>
    </row>
    <row r="9" spans="1:22">
      <c r="A9" s="243" t="str">
        <f>IF(ISBLANK('3、期末成绩'!A9)," ",'3、期末成绩'!A9)</f>
        <v>1653108</v>
      </c>
      <c r="B9" s="244" t="str">
        <f>IF(A9=" "," ",VLOOKUP(A9,'3、期末成绩'!$A$2:$B$201,2,FALSE))</f>
        <v>李丽月</v>
      </c>
      <c r="C9" s="425">
        <f ca="1" t="shared" si="0"/>
        <v>99</v>
      </c>
      <c r="D9" s="425">
        <f ca="1" t="shared" si="1"/>
        <v>67</v>
      </c>
      <c r="E9" s="426"/>
      <c r="F9" s="427"/>
      <c r="G9" s="427"/>
      <c r="H9" s="424">
        <f ca="1">IF(A9=" "," ",SUMPRODUCT($C9:$G9,'1、课程目标与考核方式'!$C$13:$G$13)/100)</f>
        <v>22.89</v>
      </c>
      <c r="I9" s="424">
        <f ca="1">IF(A9=" "," ",ROUND(H9/SUM('1、课程目标与考核方式'!$C$13:$G$13)*'1、课程目标与考核方式'!$I$13,0))</f>
        <v>65</v>
      </c>
      <c r="J9" s="420">
        <f>IF(ISBLANK('3、期末成绩'!CO9)," ",'3、期末成绩'!CO9)</f>
        <v>95</v>
      </c>
      <c r="K9" s="420">
        <f ca="1">IF(ISBLANK('3、期末成绩'!CP9)," ",'3、期末成绩'!CP9)</f>
        <v>70</v>
      </c>
      <c r="L9" s="420">
        <f>IF(ISBLANK('3、期末成绩'!CE9)," ",'3、期末成绩'!CE9)</f>
        <v>7</v>
      </c>
      <c r="M9" s="420">
        <f>IF(ISBLANK('3、期末成绩'!CF9)," ",'3、期末成绩'!CF9)</f>
        <v>7</v>
      </c>
      <c r="N9" s="420">
        <f>IF(ISBLANK('3、期末成绩'!CG9)," ",'3、期末成绩'!CG9)</f>
        <v>7</v>
      </c>
      <c r="O9" s="420">
        <f>IF(ISBLANK('3、期末成绩'!CH9)," ",'3、期末成绩'!CH9)</f>
        <v>7</v>
      </c>
      <c r="P9" s="420">
        <f>IF(ISBLANK('3、期末成绩'!CI9)," ",'3、期末成绩'!CI9)</f>
        <v>7</v>
      </c>
      <c r="Q9" s="420">
        <f>IF(ISBLANK('3、期末成绩'!CJ9)," ",'3、期末成绩'!CJ9)</f>
        <v>7</v>
      </c>
      <c r="R9" s="420">
        <f>IF(ISBLANK('3、期末成绩'!CK9)," ",'3、期末成绩'!CK9)</f>
        <v>7</v>
      </c>
      <c r="S9" s="420">
        <f>IF(ISBLANK('3、期末成绩'!CL9)," ",'3、期末成绩'!CL9)</f>
        <v>7</v>
      </c>
      <c r="T9" s="420">
        <f>IF(ISBLANK('3、期末成绩'!CM9)," ",'3、期末成绩'!CM9)</f>
        <v>7</v>
      </c>
      <c r="U9" s="420">
        <f>IF(ISBLANK('3、期末成绩'!CN9)," ",'3、期末成绩'!CN9)</f>
        <v>7</v>
      </c>
      <c r="V9" s="420">
        <v>65</v>
      </c>
    </row>
    <row r="10" spans="1:22">
      <c r="A10" s="243" t="str">
        <f>IF(ISBLANK('3、期末成绩'!A10)," ",'3、期末成绩'!A10)</f>
        <v>1653109</v>
      </c>
      <c r="B10" s="244" t="str">
        <f>IF(A10=" "," ",VLOOKUP(A10,'3、期末成绩'!$A$2:$B$201,2,FALSE))</f>
        <v>潘静</v>
      </c>
      <c r="C10" s="425">
        <f ca="1" t="shared" si="0"/>
        <v>68</v>
      </c>
      <c r="D10" s="425">
        <f ca="1" t="shared" si="1"/>
        <v>79</v>
      </c>
      <c r="E10" s="426"/>
      <c r="F10" s="427"/>
      <c r="G10" s="427"/>
      <c r="H10" s="424">
        <f ca="1">IF(A10=" "," ",SUMPRODUCT($C10:$G10,'1、课程目标与考核方式'!$C$13:$G$13)/100)</f>
        <v>19.68</v>
      </c>
      <c r="I10" s="424">
        <f ca="1">IF(A10=" "," ",ROUND(H10/SUM('1、课程目标与考核方式'!$C$13:$G$13)*'1、课程目标与考核方式'!$I$13,0))</f>
        <v>56</v>
      </c>
      <c r="J10" s="420">
        <f>IF(ISBLANK('3、期末成绩'!CO10)," ",'3、期末成绩'!CO10)</f>
        <v>95</v>
      </c>
      <c r="K10" s="420">
        <f ca="1">IF(ISBLANK('3、期末成绩'!CP10)," ",'3、期末成绩'!CP10)</f>
        <v>67</v>
      </c>
      <c r="L10" s="420">
        <f>IF(ISBLANK('3、期末成绩'!CE10)," ",'3、期末成绩'!CE10)</f>
        <v>8</v>
      </c>
      <c r="M10" s="420">
        <f>IF(ISBLANK('3、期末成绩'!CF10)," ",'3、期末成绩'!CF10)</f>
        <v>8</v>
      </c>
      <c r="N10" s="420">
        <f>IF(ISBLANK('3、期末成绩'!CG10)," ",'3、期末成绩'!CG10)</f>
        <v>8</v>
      </c>
      <c r="O10" s="420">
        <f>IF(ISBLANK('3、期末成绩'!CH10)," ",'3、期末成绩'!CH10)</f>
        <v>8</v>
      </c>
      <c r="P10" s="420">
        <f>IF(ISBLANK('3、期末成绩'!CI10)," ",'3、期末成绩'!CI10)</f>
        <v>8</v>
      </c>
      <c r="Q10" s="420">
        <f>IF(ISBLANK('3、期末成绩'!CJ10)," ",'3、期末成绩'!CJ10)</f>
        <v>8</v>
      </c>
      <c r="R10" s="420">
        <f>IF(ISBLANK('3、期末成绩'!CK10)," ",'3、期末成绩'!CK10)</f>
        <v>8</v>
      </c>
      <c r="S10" s="420">
        <f>IF(ISBLANK('3、期末成绩'!CL10)," ",'3、期末成绩'!CL10)</f>
        <v>8</v>
      </c>
      <c r="T10" s="420">
        <f>IF(ISBLANK('3、期末成绩'!CM10)," ",'3、期末成绩'!CM10)</f>
        <v>8</v>
      </c>
      <c r="U10" s="420">
        <f>IF(ISBLANK('3、期末成绩'!CN10)," ",'3、期末成绩'!CN10)</f>
        <v>8</v>
      </c>
      <c r="V10" s="420">
        <v>50</v>
      </c>
    </row>
    <row r="11" spans="1:22">
      <c r="A11" s="243" t="str">
        <f>IF(ISBLANK('3、期末成绩'!A11)," ",'3、期末成绩'!A11)</f>
        <v>1653110</v>
      </c>
      <c r="B11" s="244" t="str">
        <f>IF(A11=" "," ",VLOOKUP(A11,'3、期末成绩'!$A$2:$B$201,2,FALSE))</f>
        <v>张仕翠</v>
      </c>
      <c r="C11" s="425">
        <f ca="1" t="shared" si="0"/>
        <v>86</v>
      </c>
      <c r="D11" s="425">
        <f ca="1" t="shared" si="1"/>
        <v>60</v>
      </c>
      <c r="E11" s="426"/>
      <c r="F11" s="427"/>
      <c r="G11" s="427"/>
      <c r="H11" s="424">
        <f ca="1">IF(A11=" "," ",SUMPRODUCT($C11:$G11,'1、课程目标与考核方式'!$C$13:$G$13)/100)</f>
        <v>20.1</v>
      </c>
      <c r="I11" s="424">
        <f ca="1">IF(A11=" "," ",ROUND(H11/SUM('1、课程目标与考核方式'!$C$13:$G$13)*'1、课程目标与考核方式'!$I$13,0))</f>
        <v>57</v>
      </c>
      <c r="J11" s="420">
        <f>IF(ISBLANK('3、期末成绩'!CO11)," ",'3、期末成绩'!CO11)</f>
        <v>95</v>
      </c>
      <c r="K11" s="420">
        <f ca="1">IF(ISBLANK('3、期末成绩'!CP11)," ",'3、期末成绩'!CP11)</f>
        <v>68</v>
      </c>
      <c r="L11" s="420">
        <f>IF(ISBLANK('3、期末成绩'!CE11)," ",'3、期末成绩'!CE11)</f>
        <v>9</v>
      </c>
      <c r="M11" s="420">
        <f>IF(ISBLANK('3、期末成绩'!CF11)," ",'3、期末成绩'!CF11)</f>
        <v>9</v>
      </c>
      <c r="N11" s="420">
        <f>IF(ISBLANK('3、期末成绩'!CG11)," ",'3、期末成绩'!CG11)</f>
        <v>9</v>
      </c>
      <c r="O11" s="420">
        <f>IF(ISBLANK('3、期末成绩'!CH11)," ",'3、期末成绩'!CH11)</f>
        <v>9</v>
      </c>
      <c r="P11" s="420">
        <f>IF(ISBLANK('3、期末成绩'!CI11)," ",'3、期末成绩'!CI11)</f>
        <v>9</v>
      </c>
      <c r="Q11" s="420">
        <f>IF(ISBLANK('3、期末成绩'!CJ11)," ",'3、期末成绩'!CJ11)</f>
        <v>9</v>
      </c>
      <c r="R11" s="420">
        <f>IF(ISBLANK('3、期末成绩'!CK11)," ",'3、期末成绩'!CK11)</f>
        <v>9</v>
      </c>
      <c r="S11" s="420">
        <f>IF(ISBLANK('3、期末成绩'!CL11)," ",'3、期末成绩'!CL11)</f>
        <v>9</v>
      </c>
      <c r="T11" s="420">
        <f>IF(ISBLANK('3、期末成绩'!CM11)," ",'3、期末成绩'!CM11)</f>
        <v>9</v>
      </c>
      <c r="U11" s="420">
        <f>IF(ISBLANK('3、期末成绩'!CN11)," ",'3、期末成绩'!CN11)</f>
        <v>9</v>
      </c>
      <c r="V11" s="420">
        <v>35</v>
      </c>
    </row>
    <row r="12" spans="1:22">
      <c r="A12" s="243" t="str">
        <f>IF(ISBLANK('3、期末成绩'!A12)," ",'3、期末成绩'!A12)</f>
        <v>1653111</v>
      </c>
      <c r="B12" s="244" t="str">
        <f>IF(A12=" "," ",VLOOKUP(A12,'3、期末成绩'!$A$2:$B$201,2,FALSE))</f>
        <v>曾利荣</v>
      </c>
      <c r="C12" s="425">
        <f ca="1" t="shared" si="0"/>
        <v>80</v>
      </c>
      <c r="D12" s="425">
        <f ca="1" t="shared" si="1"/>
        <v>73</v>
      </c>
      <c r="E12" s="426"/>
      <c r="F12" s="427"/>
      <c r="G12" s="427"/>
      <c r="H12" s="424">
        <f ca="1">IF(A12=" "," ",SUMPRODUCT($C12:$G12,'1、课程目标与考核方式'!$C$13:$G$13)/100)</f>
        <v>20.76</v>
      </c>
      <c r="I12" s="424">
        <f ca="1">IF(A12=" "," ",ROUND(H12/SUM('1、课程目标与考核方式'!$C$13:$G$13)*'1、课程目标与考核方式'!$I$13,0))</f>
        <v>59</v>
      </c>
      <c r="J12" s="420">
        <f>IF(ISBLANK('3、期末成绩'!CO12)," ",'3、期末成绩'!CO12)</f>
        <v>95</v>
      </c>
      <c r="K12" s="420">
        <f ca="1">IF(ISBLANK('3、期末成绩'!CP12)," ",'3、期末成绩'!CP12)</f>
        <v>68</v>
      </c>
      <c r="L12" s="420">
        <f>IF(ISBLANK('3、期末成绩'!CE12)," ",'3、期末成绩'!CE12)</f>
        <v>10</v>
      </c>
      <c r="M12" s="420">
        <f>IF(ISBLANK('3、期末成绩'!CF12)," ",'3、期末成绩'!CF12)</f>
        <v>10</v>
      </c>
      <c r="N12" s="420">
        <f>IF(ISBLANK('3、期末成绩'!CG12)," ",'3、期末成绩'!CG12)</f>
        <v>10</v>
      </c>
      <c r="O12" s="420">
        <f>IF(ISBLANK('3、期末成绩'!CH12)," ",'3、期末成绩'!CH12)</f>
        <v>10</v>
      </c>
      <c r="P12" s="420">
        <f>IF(ISBLANK('3、期末成绩'!CI12)," ",'3、期末成绩'!CI12)</f>
        <v>10</v>
      </c>
      <c r="Q12" s="420">
        <f>IF(ISBLANK('3、期末成绩'!CJ12)," ",'3、期末成绩'!CJ12)</f>
        <v>10</v>
      </c>
      <c r="R12" s="420">
        <f>IF(ISBLANK('3、期末成绩'!CK12)," ",'3、期末成绩'!CK12)</f>
        <v>10</v>
      </c>
      <c r="S12" s="420">
        <f>IF(ISBLANK('3、期末成绩'!CL12)," ",'3、期末成绩'!CL12)</f>
        <v>10</v>
      </c>
      <c r="T12" s="420">
        <f>IF(ISBLANK('3、期末成绩'!CM12)," ",'3、期末成绩'!CM12)</f>
        <v>10</v>
      </c>
      <c r="U12" s="420">
        <f>IF(ISBLANK('3、期末成绩'!CN12)," ",'3、期末成绩'!CN12)</f>
        <v>10</v>
      </c>
      <c r="V12" s="420">
        <v>71</v>
      </c>
    </row>
    <row r="13" spans="1:22">
      <c r="A13" s="243" t="str">
        <f>IF(ISBLANK('3、期末成绩'!A13)," ",'3、期末成绩'!A13)</f>
        <v>1653112</v>
      </c>
      <c r="B13" s="244" t="str">
        <f>IF(A13=" "," ",VLOOKUP(A13,'3、期末成绩'!$A$2:$B$201,2,FALSE))</f>
        <v>李馨月</v>
      </c>
      <c r="C13" s="425">
        <f ca="1" t="shared" ref="C13:C22" si="2">60+RANDBETWEEN(0,40)</f>
        <v>99</v>
      </c>
      <c r="D13" s="425">
        <f ca="1" t="shared" ref="D13:D22" si="3">60+RANDBETWEEN(0,40)</f>
        <v>79</v>
      </c>
      <c r="E13" s="426"/>
      <c r="F13" s="427"/>
      <c r="G13" s="427"/>
      <c r="H13" s="424">
        <f ca="1">IF(A13=" "," ",SUMPRODUCT($C13:$G13,'1、课程目标与考核方式'!$C$13:$G$13)/100)</f>
        <v>24.33</v>
      </c>
      <c r="I13" s="424">
        <f ca="1">IF(A13=" "," ",ROUND(H13/SUM('1、课程目标与考核方式'!$C$13:$G$13)*'1、课程目标与考核方式'!$I$13,0))</f>
        <v>69</v>
      </c>
      <c r="J13" s="420">
        <f>IF(ISBLANK('3、期末成绩'!CO13)," ",'3、期末成绩'!CO13)</f>
        <v>95</v>
      </c>
      <c r="K13" s="420">
        <f ca="1">IF(ISBLANK('3、期末成绩'!CP13)," ",'3、期末成绩'!CP13)</f>
        <v>72</v>
      </c>
      <c r="L13" s="420">
        <f>IF(ISBLANK('3、期末成绩'!CE13)," ",'3、期末成绩'!CE13)</f>
        <v>11</v>
      </c>
      <c r="M13" s="420">
        <f>IF(ISBLANK('3、期末成绩'!CF13)," ",'3、期末成绩'!CF13)</f>
        <v>11</v>
      </c>
      <c r="N13" s="420">
        <f>IF(ISBLANK('3、期末成绩'!CG13)," ",'3、期末成绩'!CG13)</f>
        <v>11</v>
      </c>
      <c r="O13" s="420">
        <f>IF(ISBLANK('3、期末成绩'!CH13)," ",'3、期末成绩'!CH13)</f>
        <v>11</v>
      </c>
      <c r="P13" s="420">
        <f>IF(ISBLANK('3、期末成绩'!CI13)," ",'3、期末成绩'!CI13)</f>
        <v>11</v>
      </c>
      <c r="Q13" s="420">
        <f>IF(ISBLANK('3、期末成绩'!CJ13)," ",'3、期末成绩'!CJ13)</f>
        <v>11</v>
      </c>
      <c r="R13" s="420">
        <f>IF(ISBLANK('3、期末成绩'!CK13)," ",'3、期末成绩'!CK13)</f>
        <v>11</v>
      </c>
      <c r="S13" s="420">
        <f>IF(ISBLANK('3、期末成绩'!CL13)," ",'3、期末成绩'!CL13)</f>
        <v>11</v>
      </c>
      <c r="T13" s="420">
        <f>IF(ISBLANK('3、期末成绩'!CM13)," ",'3、期末成绩'!CM13)</f>
        <v>11</v>
      </c>
      <c r="U13" s="420">
        <f>IF(ISBLANK('3、期末成绩'!CN13)," ",'3、期末成绩'!CN13)</f>
        <v>11</v>
      </c>
      <c r="V13" s="420">
        <v>77</v>
      </c>
    </row>
    <row r="14" spans="1:22">
      <c r="A14" s="243" t="str">
        <f>IF(ISBLANK('3、期末成绩'!A14)," ",'3、期末成绩'!A14)</f>
        <v>1653113</v>
      </c>
      <c r="B14" s="244" t="str">
        <f>IF(A14=" "," ",VLOOKUP(A14,'3、期末成绩'!$A$2:$B$201,2,FALSE))</f>
        <v>聂甜梦</v>
      </c>
      <c r="C14" s="425">
        <f ca="1" t="shared" si="2"/>
        <v>75</v>
      </c>
      <c r="D14" s="425">
        <f ca="1" t="shared" si="3"/>
        <v>69</v>
      </c>
      <c r="E14" s="426"/>
      <c r="F14" s="427"/>
      <c r="G14" s="427"/>
      <c r="H14" s="424">
        <f ca="1">IF(A14=" "," ",SUMPRODUCT($C14:$G14,'1、课程目标与考核方式'!$C$13:$G$13)/100)</f>
        <v>19.53</v>
      </c>
      <c r="I14" s="424">
        <f ca="1">IF(A14=" "," ",ROUND(H14/SUM('1、课程目标与考核方式'!$C$13:$G$13)*'1、课程目标与考核方式'!$I$13,0))</f>
        <v>56</v>
      </c>
      <c r="J14" s="420">
        <f>IF(ISBLANK('3、期末成绩'!CO14)," ",'3、期末成绩'!CO14)</f>
        <v>95</v>
      </c>
      <c r="K14" s="420">
        <f ca="1">IF(ISBLANK('3、期末成绩'!CP14)," ",'3、期末成绩'!CP14)</f>
        <v>67</v>
      </c>
      <c r="L14" s="420">
        <f>IF(ISBLANK('3、期末成绩'!CE14)," ",'3、期末成绩'!CE14)</f>
        <v>12</v>
      </c>
      <c r="M14" s="420">
        <f>IF(ISBLANK('3、期末成绩'!CF14)," ",'3、期末成绩'!CF14)</f>
        <v>12</v>
      </c>
      <c r="N14" s="420">
        <f>IF(ISBLANK('3、期末成绩'!CG14)," ",'3、期末成绩'!CG14)</f>
        <v>12</v>
      </c>
      <c r="O14" s="420">
        <f>IF(ISBLANK('3、期末成绩'!CH14)," ",'3、期末成绩'!CH14)</f>
        <v>12</v>
      </c>
      <c r="P14" s="420">
        <f>IF(ISBLANK('3、期末成绩'!CI14)," ",'3、期末成绩'!CI14)</f>
        <v>12</v>
      </c>
      <c r="Q14" s="420">
        <f>IF(ISBLANK('3、期末成绩'!CJ14)," ",'3、期末成绩'!CJ14)</f>
        <v>12</v>
      </c>
      <c r="R14" s="420">
        <f>IF(ISBLANK('3、期末成绩'!CK14)," ",'3、期末成绩'!CK14)</f>
        <v>12</v>
      </c>
      <c r="S14" s="420">
        <f>IF(ISBLANK('3、期末成绩'!CL14)," ",'3、期末成绩'!CL14)</f>
        <v>12</v>
      </c>
      <c r="T14" s="420">
        <f>IF(ISBLANK('3、期末成绩'!CM14)," ",'3、期末成绩'!CM14)</f>
        <v>12</v>
      </c>
      <c r="U14" s="420">
        <f>IF(ISBLANK('3、期末成绩'!CN14)," ",'3、期末成绩'!CN14)</f>
        <v>12</v>
      </c>
      <c r="V14" s="420">
        <v>54</v>
      </c>
    </row>
    <row r="15" spans="1:22">
      <c r="A15" s="243" t="str">
        <f>IF(ISBLANK('3、期末成绩'!A15)," ",'3、期末成绩'!A15)</f>
        <v>1653114</v>
      </c>
      <c r="B15" s="244" t="str">
        <f>IF(A15=" "," ",VLOOKUP(A15,'3、期末成绩'!$A$2:$B$201,2,FALSE))</f>
        <v>方嵩杨</v>
      </c>
      <c r="C15" s="425">
        <f ca="1" t="shared" si="2"/>
        <v>94</v>
      </c>
      <c r="D15" s="425">
        <f ca="1" t="shared" si="3"/>
        <v>68</v>
      </c>
      <c r="E15" s="426"/>
      <c r="F15" s="427"/>
      <c r="G15" s="427"/>
      <c r="H15" s="424">
        <f ca="1">IF(A15=" "," ",SUMPRODUCT($C15:$G15,'1、课程目标与考核方式'!$C$13:$G$13)/100)</f>
        <v>22.26</v>
      </c>
      <c r="I15" s="424">
        <f ca="1">IF(A15=" "," ",ROUND(H15/SUM('1、课程目标与考核方式'!$C$13:$G$13)*'1、课程目标与考核方式'!$I$13,0))</f>
        <v>63</v>
      </c>
      <c r="J15" s="420">
        <f>IF(ISBLANK('3、期末成绩'!CO15)," ",'3、期末成绩'!CO15)</f>
        <v>95</v>
      </c>
      <c r="K15" s="420">
        <f ca="1">IF(ISBLANK('3、期末成绩'!CP15)," ",'3、期末成绩'!CP15)</f>
        <v>70</v>
      </c>
      <c r="L15" s="420">
        <f>IF(ISBLANK('3、期末成绩'!CE15)," ",'3、期末成绩'!CE15)</f>
        <v>13</v>
      </c>
      <c r="M15" s="420">
        <f>IF(ISBLANK('3、期末成绩'!CF15)," ",'3、期末成绩'!CF15)</f>
        <v>13</v>
      </c>
      <c r="N15" s="420">
        <f>IF(ISBLANK('3、期末成绩'!CG15)," ",'3、期末成绩'!CG15)</f>
        <v>13</v>
      </c>
      <c r="O15" s="420">
        <f>IF(ISBLANK('3、期末成绩'!CH15)," ",'3、期末成绩'!CH15)</f>
        <v>13</v>
      </c>
      <c r="P15" s="420">
        <f>IF(ISBLANK('3、期末成绩'!CI15)," ",'3、期末成绩'!CI15)</f>
        <v>13</v>
      </c>
      <c r="Q15" s="420">
        <f>IF(ISBLANK('3、期末成绩'!CJ15)," ",'3、期末成绩'!CJ15)</f>
        <v>13</v>
      </c>
      <c r="R15" s="420">
        <f>IF(ISBLANK('3、期末成绩'!CK15)," ",'3、期末成绩'!CK15)</f>
        <v>13</v>
      </c>
      <c r="S15" s="420">
        <f>IF(ISBLANK('3、期末成绩'!CL15)," ",'3、期末成绩'!CL15)</f>
        <v>13</v>
      </c>
      <c r="T15" s="420">
        <f>IF(ISBLANK('3、期末成绩'!CM15)," ",'3、期末成绩'!CM15)</f>
        <v>13</v>
      </c>
      <c r="U15" s="420">
        <f>IF(ISBLANK('3、期末成绩'!CN15)," ",'3、期末成绩'!CN15)</f>
        <v>13</v>
      </c>
      <c r="V15" s="420">
        <v>75</v>
      </c>
    </row>
    <row r="16" spans="1:22">
      <c r="A16" s="243" t="str">
        <f>IF(ISBLANK('3、期末成绩'!A16)," ",'3、期末成绩'!A16)</f>
        <v>1653115</v>
      </c>
      <c r="B16" s="244" t="str">
        <f>IF(A16=" "," ",VLOOKUP(A16,'3、期末成绩'!$A$2:$B$201,2,FALSE))</f>
        <v>王宇豪</v>
      </c>
      <c r="C16" s="425">
        <f ca="1" t="shared" si="2"/>
        <v>85</v>
      </c>
      <c r="D16" s="425">
        <f ca="1" t="shared" si="3"/>
        <v>90</v>
      </c>
      <c r="E16" s="426"/>
      <c r="F16" s="427"/>
      <c r="G16" s="427"/>
      <c r="H16" s="424">
        <f ca="1">IF(A16=" "," ",SUMPRODUCT($C16:$G16,'1、课程目标与考核方式'!$C$13:$G$13)/100)</f>
        <v>23.55</v>
      </c>
      <c r="I16" s="424">
        <f ca="1">IF(A16=" "," ",ROUND(H16/SUM('1、课程目标与考核方式'!$C$13:$G$13)*'1、课程目标与考核方式'!$I$13,0))</f>
        <v>67</v>
      </c>
      <c r="J16" s="420">
        <f>IF(ISBLANK('3、期末成绩'!CO16)," ",'3、期末成绩'!CO16)</f>
        <v>95</v>
      </c>
      <c r="K16" s="420">
        <f ca="1">IF(ISBLANK('3、期末成绩'!CP16)," ",'3、期末成绩'!CP16)</f>
        <v>71</v>
      </c>
      <c r="L16" s="420">
        <f>IF(ISBLANK('3、期末成绩'!CE16)," ",'3、期末成绩'!CE16)</f>
        <v>14</v>
      </c>
      <c r="M16" s="420">
        <f>IF(ISBLANK('3、期末成绩'!CF16)," ",'3、期末成绩'!CF16)</f>
        <v>14</v>
      </c>
      <c r="N16" s="420">
        <f>IF(ISBLANK('3、期末成绩'!CG16)," ",'3、期末成绩'!CG16)</f>
        <v>14</v>
      </c>
      <c r="O16" s="420">
        <f>IF(ISBLANK('3、期末成绩'!CH16)," ",'3、期末成绩'!CH16)</f>
        <v>14</v>
      </c>
      <c r="P16" s="420">
        <f>IF(ISBLANK('3、期末成绩'!CI16)," ",'3、期末成绩'!CI16)</f>
        <v>14</v>
      </c>
      <c r="Q16" s="420">
        <f>IF(ISBLANK('3、期末成绩'!CJ16)," ",'3、期末成绩'!CJ16)</f>
        <v>14</v>
      </c>
      <c r="R16" s="420">
        <f>IF(ISBLANK('3、期末成绩'!CK16)," ",'3、期末成绩'!CK16)</f>
        <v>14</v>
      </c>
      <c r="S16" s="420">
        <f>IF(ISBLANK('3、期末成绩'!CL16)," ",'3、期末成绩'!CL16)</f>
        <v>14</v>
      </c>
      <c r="T16" s="420">
        <f>IF(ISBLANK('3、期末成绩'!CM16)," ",'3、期末成绩'!CM16)</f>
        <v>14</v>
      </c>
      <c r="U16" s="420">
        <f>IF(ISBLANK('3、期末成绩'!CN16)," ",'3、期末成绩'!CN16)</f>
        <v>14</v>
      </c>
      <c r="V16" s="420">
        <v>58</v>
      </c>
    </row>
    <row r="17" spans="1:22">
      <c r="A17" s="243" t="str">
        <f>IF(ISBLANK('3、期末成绩'!A17)," ",'3、期末成绩'!A17)</f>
        <v>1653117</v>
      </c>
      <c r="B17" s="244" t="str">
        <f>IF(A17=" "," ",VLOOKUP(A17,'3、期末成绩'!$A$2:$B$201,2,FALSE))</f>
        <v>盛腾飞</v>
      </c>
      <c r="C17" s="425">
        <f ca="1" t="shared" si="2"/>
        <v>64</v>
      </c>
      <c r="D17" s="425">
        <f ca="1" t="shared" si="3"/>
        <v>76</v>
      </c>
      <c r="E17" s="426"/>
      <c r="F17" s="427"/>
      <c r="G17" s="427"/>
      <c r="H17" s="424">
        <f ca="1">IF(A17=" "," ",SUMPRODUCT($C17:$G17,'1、课程目标与考核方式'!$C$13:$G$13)/100)</f>
        <v>18.72</v>
      </c>
      <c r="I17" s="424">
        <f ca="1">IF(A17=" "," ",ROUND(H17/SUM('1、课程目标与考核方式'!$C$13:$G$13)*'1、课程目标与考核方式'!$I$13,0))</f>
        <v>53</v>
      </c>
      <c r="J17" s="420">
        <f>IF(ISBLANK('3、期末成绩'!CO17)," ",'3、期末成绩'!CO17)</f>
        <v>95</v>
      </c>
      <c r="K17" s="420">
        <f ca="1">IF(ISBLANK('3、期末成绩'!CP17)," ",'3、期末成绩'!CP17)</f>
        <v>66</v>
      </c>
      <c r="L17" s="420">
        <f>IF(ISBLANK('3、期末成绩'!CE17)," ",'3、期末成绩'!CE17)</f>
        <v>15</v>
      </c>
      <c r="M17" s="420">
        <f>IF(ISBLANK('3、期末成绩'!CF17)," ",'3、期末成绩'!CF17)</f>
        <v>15</v>
      </c>
      <c r="N17" s="420">
        <f>IF(ISBLANK('3、期末成绩'!CG17)," ",'3、期末成绩'!CG17)</f>
        <v>15</v>
      </c>
      <c r="O17" s="420">
        <f>IF(ISBLANK('3、期末成绩'!CH17)," ",'3、期末成绩'!CH17)</f>
        <v>15</v>
      </c>
      <c r="P17" s="420">
        <f>IF(ISBLANK('3、期末成绩'!CI17)," ",'3、期末成绩'!CI17)</f>
        <v>15</v>
      </c>
      <c r="Q17" s="420">
        <f>IF(ISBLANK('3、期末成绩'!CJ17)," ",'3、期末成绩'!CJ17)</f>
        <v>15</v>
      </c>
      <c r="R17" s="420">
        <f>IF(ISBLANK('3、期末成绩'!CK17)," ",'3、期末成绩'!CK17)</f>
        <v>15</v>
      </c>
      <c r="S17" s="420">
        <f>IF(ISBLANK('3、期末成绩'!CL17)," ",'3、期末成绩'!CL17)</f>
        <v>15</v>
      </c>
      <c r="T17" s="420">
        <f>IF(ISBLANK('3、期末成绩'!CM17)," ",'3、期末成绩'!CM17)</f>
        <v>15</v>
      </c>
      <c r="U17" s="420">
        <f>IF(ISBLANK('3、期末成绩'!CN17)," ",'3、期末成绩'!CN17)</f>
        <v>15</v>
      </c>
      <c r="V17" s="420">
        <v>52</v>
      </c>
    </row>
    <row r="18" spans="1:22">
      <c r="A18" s="243" t="str">
        <f>IF(ISBLANK('3、期末成绩'!A18)," ",'3、期末成绩'!A18)</f>
        <v>1653118</v>
      </c>
      <c r="B18" s="244" t="str">
        <f>IF(A18=" "," ",VLOOKUP(A18,'3、期末成绩'!$A$2:$B$201,2,FALSE))</f>
        <v>廖章泽</v>
      </c>
      <c r="C18" s="425">
        <f ca="1" t="shared" si="2"/>
        <v>72</v>
      </c>
      <c r="D18" s="425">
        <f ca="1" t="shared" si="3"/>
        <v>89</v>
      </c>
      <c r="E18" s="426"/>
      <c r="F18" s="427"/>
      <c r="G18" s="427"/>
      <c r="H18" s="424">
        <f ca="1">IF(A18=" "," ",SUMPRODUCT($C18:$G18,'1、课程目标与考核方式'!$C$13:$G$13)/100)</f>
        <v>21.48</v>
      </c>
      <c r="I18" s="424">
        <f ca="1">IF(A18=" "," ",ROUND(H18/SUM('1、课程目标与考核方式'!$C$13:$G$13)*'1、课程目标与考核方式'!$I$13,0))</f>
        <v>61</v>
      </c>
      <c r="J18" s="420">
        <f>IF(ISBLANK('3、期末成绩'!CO18)," ",'3、期末成绩'!CO18)</f>
        <v>95</v>
      </c>
      <c r="K18" s="420">
        <f ca="1">IF(ISBLANK('3、期末成绩'!CP18)," ",'3、期末成绩'!CP18)</f>
        <v>69</v>
      </c>
      <c r="L18" s="420">
        <f>IF(ISBLANK('3、期末成绩'!CE18)," ",'3、期末成绩'!CE18)</f>
        <v>16</v>
      </c>
      <c r="M18" s="420">
        <f>IF(ISBLANK('3、期末成绩'!CF18)," ",'3、期末成绩'!CF18)</f>
        <v>16</v>
      </c>
      <c r="N18" s="420">
        <f>IF(ISBLANK('3、期末成绩'!CG18)," ",'3、期末成绩'!CG18)</f>
        <v>16</v>
      </c>
      <c r="O18" s="420">
        <f>IF(ISBLANK('3、期末成绩'!CH18)," ",'3、期末成绩'!CH18)</f>
        <v>16</v>
      </c>
      <c r="P18" s="420">
        <f>IF(ISBLANK('3、期末成绩'!CI18)," ",'3、期末成绩'!CI18)</f>
        <v>16</v>
      </c>
      <c r="Q18" s="420">
        <f>IF(ISBLANK('3、期末成绩'!CJ18)," ",'3、期末成绩'!CJ18)</f>
        <v>16</v>
      </c>
      <c r="R18" s="420">
        <f>IF(ISBLANK('3、期末成绩'!CK18)," ",'3、期末成绩'!CK18)</f>
        <v>16</v>
      </c>
      <c r="S18" s="420">
        <f>IF(ISBLANK('3、期末成绩'!CL18)," ",'3、期末成绩'!CL18)</f>
        <v>16</v>
      </c>
      <c r="T18" s="420">
        <f>IF(ISBLANK('3、期末成绩'!CM18)," ",'3、期末成绩'!CM18)</f>
        <v>16</v>
      </c>
      <c r="U18" s="420">
        <f>IF(ISBLANK('3、期末成绩'!CN18)," ",'3、期末成绩'!CN18)</f>
        <v>16</v>
      </c>
      <c r="V18" s="420">
        <v>52</v>
      </c>
    </row>
    <row r="19" spans="1:22">
      <c r="A19" s="243" t="str">
        <f>IF(ISBLANK('3、期末成绩'!A19)," ",'3、期末成绩'!A19)</f>
        <v>1653120</v>
      </c>
      <c r="B19" s="244" t="str">
        <f>IF(A19=" "," ",VLOOKUP(A19,'3、期末成绩'!$A$2:$B$201,2,FALSE))</f>
        <v>汤索</v>
      </c>
      <c r="C19" s="425">
        <f ca="1" t="shared" si="2"/>
        <v>97</v>
      </c>
      <c r="D19" s="425">
        <f ca="1" t="shared" si="3"/>
        <v>91</v>
      </c>
      <c r="E19" s="426"/>
      <c r="F19" s="427"/>
      <c r="G19" s="427"/>
      <c r="H19" s="424">
        <f ca="1">IF(A19=" "," ",SUMPRODUCT($C19:$G19,'1、课程目标与考核方式'!$C$13:$G$13)/100)</f>
        <v>25.47</v>
      </c>
      <c r="I19" s="424">
        <f ca="1">IF(A19=" "," ",ROUND(H19/SUM('1、课程目标与考核方式'!$C$13:$G$13)*'1、课程目标与考核方式'!$I$13,0))</f>
        <v>73</v>
      </c>
      <c r="J19" s="420">
        <f>IF(ISBLANK('3、期末成绩'!CO19)," ",'3、期末成绩'!CO19)</f>
        <v>95</v>
      </c>
      <c r="K19" s="420">
        <f ca="1">IF(ISBLANK('3、期末成绩'!CP19)," ",'3、期末成绩'!CP19)</f>
        <v>73</v>
      </c>
      <c r="L19" s="420">
        <f>IF(ISBLANK('3、期末成绩'!CE19)," ",'3、期末成绩'!CE19)</f>
        <v>17</v>
      </c>
      <c r="M19" s="420">
        <f>IF(ISBLANK('3、期末成绩'!CF19)," ",'3、期末成绩'!CF19)</f>
        <v>17</v>
      </c>
      <c r="N19" s="420">
        <f>IF(ISBLANK('3、期末成绩'!CG19)," ",'3、期末成绩'!CG19)</f>
        <v>17</v>
      </c>
      <c r="O19" s="420">
        <f>IF(ISBLANK('3、期末成绩'!CH19)," ",'3、期末成绩'!CH19)</f>
        <v>17</v>
      </c>
      <c r="P19" s="420">
        <f>IF(ISBLANK('3、期末成绩'!CI19)," ",'3、期末成绩'!CI19)</f>
        <v>17</v>
      </c>
      <c r="Q19" s="420">
        <f>IF(ISBLANK('3、期末成绩'!CJ19)," ",'3、期末成绩'!CJ19)</f>
        <v>17</v>
      </c>
      <c r="R19" s="420">
        <f>IF(ISBLANK('3、期末成绩'!CK19)," ",'3、期末成绩'!CK19)</f>
        <v>17</v>
      </c>
      <c r="S19" s="420">
        <f>IF(ISBLANK('3、期末成绩'!CL19)," ",'3、期末成绩'!CL19)</f>
        <v>17</v>
      </c>
      <c r="T19" s="420">
        <f>IF(ISBLANK('3、期末成绩'!CM19)," ",'3、期末成绩'!CM19)</f>
        <v>17</v>
      </c>
      <c r="U19" s="420">
        <f>IF(ISBLANK('3、期末成绩'!CN19)," ",'3、期末成绩'!CN19)</f>
        <v>17</v>
      </c>
      <c r="V19" s="420">
        <v>56</v>
      </c>
    </row>
    <row r="20" spans="1:22">
      <c r="A20" s="243" t="str">
        <f>IF(ISBLANK('3、期末成绩'!A20)," ",'3、期末成绩'!A20)</f>
        <v>1653121</v>
      </c>
      <c r="B20" s="244" t="str">
        <f>IF(A20=" "," ",VLOOKUP(A20,'3、期末成绩'!$A$2:$B$201,2,FALSE))</f>
        <v>刘强慧</v>
      </c>
      <c r="C20" s="425">
        <f ca="1" t="shared" si="2"/>
        <v>86</v>
      </c>
      <c r="D20" s="425">
        <f ca="1" t="shared" si="3"/>
        <v>69</v>
      </c>
      <c r="E20" s="426"/>
      <c r="F20" s="427"/>
      <c r="G20" s="427"/>
      <c r="H20" s="424">
        <f ca="1">IF(A20=" "," ",SUMPRODUCT($C20:$G20,'1、课程目标与考核方式'!$C$13:$G$13)/100)</f>
        <v>21.18</v>
      </c>
      <c r="I20" s="424">
        <f ca="1">IF(A20=" "," ",ROUND(H20/SUM('1、课程目标与考核方式'!$C$13:$G$13)*'1、课程目标与考核方式'!$I$13,0))</f>
        <v>60</v>
      </c>
      <c r="J20" s="420">
        <f>IF(ISBLANK('3、期末成绩'!CO20)," ",'3、期末成绩'!CO20)</f>
        <v>95</v>
      </c>
      <c r="K20" s="420">
        <f ca="1">IF(ISBLANK('3、期末成绩'!CP20)," ",'3、期末成绩'!CP20)</f>
        <v>69</v>
      </c>
      <c r="L20" s="420">
        <f>IF(ISBLANK('3、期末成绩'!CE20)," ",'3、期末成绩'!CE20)</f>
        <v>18</v>
      </c>
      <c r="M20" s="420">
        <f>IF(ISBLANK('3、期末成绩'!CF20)," ",'3、期末成绩'!CF20)</f>
        <v>18</v>
      </c>
      <c r="N20" s="420">
        <f>IF(ISBLANK('3、期末成绩'!CG20)," ",'3、期末成绩'!CG20)</f>
        <v>18</v>
      </c>
      <c r="O20" s="420">
        <f>IF(ISBLANK('3、期末成绩'!CH20)," ",'3、期末成绩'!CH20)</f>
        <v>18</v>
      </c>
      <c r="P20" s="420">
        <f>IF(ISBLANK('3、期末成绩'!CI20)," ",'3、期末成绩'!CI20)</f>
        <v>18</v>
      </c>
      <c r="Q20" s="420">
        <f>IF(ISBLANK('3、期末成绩'!CJ20)," ",'3、期末成绩'!CJ20)</f>
        <v>18</v>
      </c>
      <c r="R20" s="420">
        <f>IF(ISBLANK('3、期末成绩'!CK20)," ",'3、期末成绩'!CK20)</f>
        <v>18</v>
      </c>
      <c r="S20" s="420">
        <f>IF(ISBLANK('3、期末成绩'!CL20)," ",'3、期末成绩'!CL20)</f>
        <v>18</v>
      </c>
      <c r="T20" s="420">
        <f>IF(ISBLANK('3、期末成绩'!CM20)," ",'3、期末成绩'!CM20)</f>
        <v>18</v>
      </c>
      <c r="U20" s="420">
        <f>IF(ISBLANK('3、期末成绩'!CN20)," ",'3、期末成绩'!CN20)</f>
        <v>18</v>
      </c>
      <c r="V20" s="420">
        <v>51</v>
      </c>
    </row>
    <row r="21" spans="1:22">
      <c r="A21" s="243" t="str">
        <f>IF(ISBLANK('3、期末成绩'!A21)," ",'3、期末成绩'!A21)</f>
        <v>1653122</v>
      </c>
      <c r="B21" s="244" t="str">
        <f>IF(A21=" "," ",VLOOKUP(A21,'3、期末成绩'!$A$2:$B$201,2,FALSE))</f>
        <v>陈瑞</v>
      </c>
      <c r="C21" s="425">
        <f ca="1" t="shared" si="2"/>
        <v>61</v>
      </c>
      <c r="D21" s="425">
        <f ca="1" t="shared" si="3"/>
        <v>71</v>
      </c>
      <c r="E21" s="426"/>
      <c r="F21" s="427"/>
      <c r="G21" s="427"/>
      <c r="H21" s="424">
        <f ca="1">IF(A21=" "," ",SUMPRODUCT($C21:$G21,'1、课程目标与考核方式'!$C$13:$G$13)/100)</f>
        <v>17.67</v>
      </c>
      <c r="I21" s="424">
        <f ca="1">IF(A21=" "," ",ROUND(H21/SUM('1、课程目标与考核方式'!$C$13:$G$13)*'1、课程目标与考核方式'!$I$13,0))</f>
        <v>50</v>
      </c>
      <c r="J21" s="420">
        <f>IF(ISBLANK('3、期末成绩'!CO21)," ",'3、期末成绩'!CO21)</f>
        <v>95</v>
      </c>
      <c r="K21" s="420">
        <f ca="1">IF(ISBLANK('3、期末成绩'!CP21)," ",'3、期末成绩'!CP21)</f>
        <v>65</v>
      </c>
      <c r="L21" s="420">
        <f>IF(ISBLANK('3、期末成绩'!CE21)," ",'3、期末成绩'!CE21)</f>
        <v>19</v>
      </c>
      <c r="M21" s="420">
        <f>IF(ISBLANK('3、期末成绩'!CF21)," ",'3、期末成绩'!CF21)</f>
        <v>19</v>
      </c>
      <c r="N21" s="420">
        <f>IF(ISBLANK('3、期末成绩'!CG21)," ",'3、期末成绩'!CG21)</f>
        <v>19</v>
      </c>
      <c r="O21" s="420">
        <f>IF(ISBLANK('3、期末成绩'!CH21)," ",'3、期末成绩'!CH21)</f>
        <v>19</v>
      </c>
      <c r="P21" s="420">
        <f>IF(ISBLANK('3、期末成绩'!CI21)," ",'3、期末成绩'!CI21)</f>
        <v>19</v>
      </c>
      <c r="Q21" s="420">
        <f>IF(ISBLANK('3、期末成绩'!CJ21)," ",'3、期末成绩'!CJ21)</f>
        <v>19</v>
      </c>
      <c r="R21" s="420">
        <f>IF(ISBLANK('3、期末成绩'!CK21)," ",'3、期末成绩'!CK21)</f>
        <v>19</v>
      </c>
      <c r="S21" s="420">
        <f>IF(ISBLANK('3、期末成绩'!CL21)," ",'3、期末成绩'!CL21)</f>
        <v>19</v>
      </c>
      <c r="T21" s="420">
        <f>IF(ISBLANK('3、期末成绩'!CM21)," ",'3、期末成绩'!CM21)</f>
        <v>19</v>
      </c>
      <c r="U21" s="420">
        <f>IF(ISBLANK('3、期末成绩'!CN21)," ",'3、期末成绩'!CN21)</f>
        <v>19</v>
      </c>
      <c r="V21" s="420">
        <v>48</v>
      </c>
    </row>
    <row r="22" spans="1:22">
      <c r="A22" s="243" t="str">
        <f>IF(ISBLANK('3、期末成绩'!A22)," ",'3、期末成绩'!A22)</f>
        <v>1653123</v>
      </c>
      <c r="B22" s="244" t="str">
        <f>IF(A22=" "," ",VLOOKUP(A22,'3、期末成绩'!$A$2:$B$201,2,FALSE))</f>
        <v>苏同</v>
      </c>
      <c r="C22" s="425">
        <f ca="1" t="shared" si="2"/>
        <v>92</v>
      </c>
      <c r="D22" s="425">
        <f ca="1" t="shared" si="3"/>
        <v>93</v>
      </c>
      <c r="E22" s="426"/>
      <c r="F22" s="427"/>
      <c r="G22" s="427"/>
      <c r="H22" s="424">
        <f ca="1">IF(A22=" "," ",SUMPRODUCT($C22:$G22,'1、课程目标与考核方式'!$C$13:$G$13)/100)</f>
        <v>24.96</v>
      </c>
      <c r="I22" s="424">
        <f ca="1">IF(A22=" "," ",ROUND(H22/SUM('1、课程目标与考核方式'!$C$13:$G$13)*'1、课程目标与考核方式'!$I$13,0))</f>
        <v>71</v>
      </c>
      <c r="J22" s="420">
        <f>IF(ISBLANK('3、期末成绩'!CO22)," ",'3、期末成绩'!CO22)</f>
        <v>95</v>
      </c>
      <c r="K22" s="420">
        <f ca="1">IF(ISBLANK('3、期末成绩'!CP22)," ",'3、期末成绩'!CP22)</f>
        <v>72</v>
      </c>
      <c r="L22" s="420">
        <f>IF(ISBLANK('3、期末成绩'!CE22)," ",'3、期末成绩'!CE22)</f>
        <v>20</v>
      </c>
      <c r="M22" s="420">
        <f>IF(ISBLANK('3、期末成绩'!CF22)," ",'3、期末成绩'!CF22)</f>
        <v>20</v>
      </c>
      <c r="N22" s="420">
        <f>IF(ISBLANK('3、期末成绩'!CG22)," ",'3、期末成绩'!CG22)</f>
        <v>20</v>
      </c>
      <c r="O22" s="420">
        <f>IF(ISBLANK('3、期末成绩'!CH22)," ",'3、期末成绩'!CH22)</f>
        <v>20</v>
      </c>
      <c r="P22" s="420">
        <f>IF(ISBLANK('3、期末成绩'!CI22)," ",'3、期末成绩'!CI22)</f>
        <v>20</v>
      </c>
      <c r="Q22" s="420">
        <f>IF(ISBLANK('3、期末成绩'!CJ22)," ",'3、期末成绩'!CJ22)</f>
        <v>20</v>
      </c>
      <c r="R22" s="420">
        <f>IF(ISBLANK('3、期末成绩'!CK22)," ",'3、期末成绩'!CK22)</f>
        <v>20</v>
      </c>
      <c r="S22" s="420">
        <f>IF(ISBLANK('3、期末成绩'!CL22)," ",'3、期末成绩'!CL22)</f>
        <v>20</v>
      </c>
      <c r="T22" s="420">
        <f>IF(ISBLANK('3、期末成绩'!CM22)," ",'3、期末成绩'!CM22)</f>
        <v>20</v>
      </c>
      <c r="U22" s="420">
        <f>IF(ISBLANK('3、期末成绩'!CN22)," ",'3、期末成绩'!CN22)</f>
        <v>20</v>
      </c>
      <c r="V22" s="420">
        <v>62</v>
      </c>
    </row>
    <row r="23" spans="1:22">
      <c r="A23" s="243" t="str">
        <f>IF(ISBLANK('3、期末成绩'!A23)," ",'3、期末成绩'!A23)</f>
        <v>1653124</v>
      </c>
      <c r="B23" s="244" t="str">
        <f>IF(A23=" "," ",VLOOKUP(A23,'3、期末成绩'!$A$2:$B$201,2,FALSE))</f>
        <v>卢嘉杰</v>
      </c>
      <c r="C23" s="425">
        <f ca="1" t="shared" ref="C23:C32" si="4">60+RANDBETWEEN(0,40)</f>
        <v>68</v>
      </c>
      <c r="D23" s="425">
        <f ca="1" t="shared" ref="D23:D32" si="5">60+RANDBETWEEN(0,40)</f>
        <v>63</v>
      </c>
      <c r="E23" s="426"/>
      <c r="F23" s="427"/>
      <c r="G23" s="427"/>
      <c r="H23" s="424">
        <f ca="1">IF(A23=" "," ",SUMPRODUCT($C23:$G23,'1、课程目标与考核方式'!$C$13:$G$13)/100)</f>
        <v>17.76</v>
      </c>
      <c r="I23" s="424">
        <f ca="1">IF(A23=" "," ",ROUND(H23/SUM('1、课程目标与考核方式'!$C$13:$G$13)*'1、课程目标与考核方式'!$I$13,0))</f>
        <v>51</v>
      </c>
      <c r="J23" s="420">
        <f>IF(ISBLANK('3、期末成绩'!CO23)," ",'3、期末成绩'!CO23)</f>
        <v>95</v>
      </c>
      <c r="K23" s="420">
        <f ca="1">IF(ISBLANK('3、期末成绩'!CP23)," ",'3、期末成绩'!CP23)</f>
        <v>65</v>
      </c>
      <c r="L23" s="420">
        <f>IF(ISBLANK('3、期末成绩'!CE23)," ",'3、期末成绩'!CE23)</f>
        <v>21</v>
      </c>
      <c r="M23" s="420">
        <f>IF(ISBLANK('3、期末成绩'!CF23)," ",'3、期末成绩'!CF23)</f>
        <v>21</v>
      </c>
      <c r="N23" s="420">
        <f>IF(ISBLANK('3、期末成绩'!CG23)," ",'3、期末成绩'!CG23)</f>
        <v>21</v>
      </c>
      <c r="O23" s="420">
        <f>IF(ISBLANK('3、期末成绩'!CH23)," ",'3、期末成绩'!CH23)</f>
        <v>21</v>
      </c>
      <c r="P23" s="420">
        <f>IF(ISBLANK('3、期末成绩'!CI23)," ",'3、期末成绩'!CI23)</f>
        <v>21</v>
      </c>
      <c r="Q23" s="420">
        <f>IF(ISBLANK('3、期末成绩'!CJ23)," ",'3、期末成绩'!CJ23)</f>
        <v>21</v>
      </c>
      <c r="R23" s="420">
        <f>IF(ISBLANK('3、期末成绩'!CK23)," ",'3、期末成绩'!CK23)</f>
        <v>21</v>
      </c>
      <c r="S23" s="420">
        <f>IF(ISBLANK('3、期末成绩'!CL23)," ",'3、期末成绩'!CL23)</f>
        <v>21</v>
      </c>
      <c r="T23" s="420">
        <f>IF(ISBLANK('3、期末成绩'!CM23)," ",'3、期末成绩'!CM23)</f>
        <v>21</v>
      </c>
      <c r="U23" s="420">
        <f>IF(ISBLANK('3、期末成绩'!CN23)," ",'3、期末成绩'!CN23)</f>
        <v>21</v>
      </c>
      <c r="V23" s="420">
        <v>80</v>
      </c>
    </row>
    <row r="24" spans="1:22">
      <c r="A24" s="243" t="str">
        <f>IF(ISBLANK('3、期末成绩'!A24)," ",'3、期末成绩'!A24)</f>
        <v>1653125</v>
      </c>
      <c r="B24" s="244" t="str">
        <f>IF(A24=" "," ",VLOOKUP(A24,'3、期末成绩'!$A$2:$B$201,2,FALSE))</f>
        <v>张泽铭</v>
      </c>
      <c r="C24" s="425">
        <f ca="1" t="shared" si="4"/>
        <v>68</v>
      </c>
      <c r="D24" s="425">
        <f ca="1" t="shared" si="5"/>
        <v>85</v>
      </c>
      <c r="E24" s="426"/>
      <c r="F24" s="427"/>
      <c r="G24" s="427"/>
      <c r="H24" s="424">
        <f ca="1">IF(A24=" "," ",SUMPRODUCT($C24:$G24,'1、课程目标与考核方式'!$C$13:$G$13)/100)</f>
        <v>20.4</v>
      </c>
      <c r="I24" s="424">
        <f ca="1">IF(A24=" "," ",ROUND(H24/SUM('1、课程目标与考核方式'!$C$13:$G$13)*'1、课程目标与考核方式'!$I$13,0))</f>
        <v>58</v>
      </c>
      <c r="J24" s="420">
        <f>IF(ISBLANK('3、期末成绩'!CO24)," ",'3、期末成绩'!CO24)</f>
        <v>95</v>
      </c>
      <c r="K24" s="420">
        <f ca="1">IF(ISBLANK('3、期末成绩'!CP24)," ",'3、期末成绩'!CP24)</f>
        <v>68</v>
      </c>
      <c r="L24" s="420">
        <f>IF(ISBLANK('3、期末成绩'!CE24)," ",'3、期末成绩'!CE24)</f>
        <v>22</v>
      </c>
      <c r="M24" s="420">
        <f>IF(ISBLANK('3、期末成绩'!CF24)," ",'3、期末成绩'!CF24)</f>
        <v>22</v>
      </c>
      <c r="N24" s="420">
        <f>IF(ISBLANK('3、期末成绩'!CG24)," ",'3、期末成绩'!CG24)</f>
        <v>22</v>
      </c>
      <c r="O24" s="420">
        <f>IF(ISBLANK('3、期末成绩'!CH24)," ",'3、期末成绩'!CH24)</f>
        <v>22</v>
      </c>
      <c r="P24" s="420">
        <f>IF(ISBLANK('3、期末成绩'!CI24)," ",'3、期末成绩'!CI24)</f>
        <v>22</v>
      </c>
      <c r="Q24" s="420">
        <f>IF(ISBLANK('3、期末成绩'!CJ24)," ",'3、期末成绩'!CJ24)</f>
        <v>22</v>
      </c>
      <c r="R24" s="420">
        <f>IF(ISBLANK('3、期末成绩'!CK24)," ",'3、期末成绩'!CK24)</f>
        <v>22</v>
      </c>
      <c r="S24" s="420">
        <f>IF(ISBLANK('3、期末成绩'!CL24)," ",'3、期末成绩'!CL24)</f>
        <v>22</v>
      </c>
      <c r="T24" s="420">
        <f>IF(ISBLANK('3、期末成绩'!CM24)," ",'3、期末成绩'!CM24)</f>
        <v>22</v>
      </c>
      <c r="U24" s="420">
        <f>IF(ISBLANK('3、期末成绩'!CN24)," ",'3、期末成绩'!CN24)</f>
        <v>22</v>
      </c>
      <c r="V24" s="420">
        <v>79</v>
      </c>
    </row>
    <row r="25" spans="1:22">
      <c r="A25" s="243" t="str">
        <f>IF(ISBLANK('3、期末成绩'!A25)," ",'3、期末成绩'!A25)</f>
        <v>1653126</v>
      </c>
      <c r="B25" s="244" t="str">
        <f>IF(A25=" "," ",VLOOKUP(A25,'3、期末成绩'!$A$2:$B$201,2,FALSE))</f>
        <v>张锦海</v>
      </c>
      <c r="C25" s="425">
        <f ca="1" t="shared" si="4"/>
        <v>94</v>
      </c>
      <c r="D25" s="425">
        <f ca="1" t="shared" si="5"/>
        <v>75</v>
      </c>
      <c r="E25" s="426"/>
      <c r="F25" s="427"/>
      <c r="G25" s="427"/>
      <c r="H25" s="424">
        <f ca="1">IF(A25=" "," ",SUMPRODUCT($C25:$G25,'1、课程目标与考核方式'!$C$13:$G$13)/100)</f>
        <v>23.1</v>
      </c>
      <c r="I25" s="424">
        <f ca="1">IF(A25=" "," ",ROUND(H25/SUM('1、课程目标与考核方式'!$C$13:$G$13)*'1、课程目标与考核方式'!$I$13,0))</f>
        <v>66</v>
      </c>
      <c r="J25" s="420">
        <f>IF(ISBLANK('3、期末成绩'!CO25)," ",'3、期末成绩'!CO25)</f>
        <v>95</v>
      </c>
      <c r="K25" s="420">
        <f ca="1">IF(ISBLANK('3、期末成绩'!CP25)," ",'3、期末成绩'!CP25)</f>
        <v>71</v>
      </c>
      <c r="L25" s="420">
        <f>IF(ISBLANK('3、期末成绩'!CE25)," ",'3、期末成绩'!CE25)</f>
        <v>23</v>
      </c>
      <c r="M25" s="420">
        <f>IF(ISBLANK('3、期末成绩'!CF25)," ",'3、期末成绩'!CF25)</f>
        <v>23</v>
      </c>
      <c r="N25" s="420">
        <f>IF(ISBLANK('3、期末成绩'!CG25)," ",'3、期末成绩'!CG25)</f>
        <v>23</v>
      </c>
      <c r="O25" s="420">
        <f>IF(ISBLANK('3、期末成绩'!CH25)," ",'3、期末成绩'!CH25)</f>
        <v>23</v>
      </c>
      <c r="P25" s="420">
        <f>IF(ISBLANK('3、期末成绩'!CI25)," ",'3、期末成绩'!CI25)</f>
        <v>23</v>
      </c>
      <c r="Q25" s="420">
        <f>IF(ISBLANK('3、期末成绩'!CJ25)," ",'3、期末成绩'!CJ25)</f>
        <v>23</v>
      </c>
      <c r="R25" s="420">
        <f>IF(ISBLANK('3、期末成绩'!CK25)," ",'3、期末成绩'!CK25)</f>
        <v>23</v>
      </c>
      <c r="S25" s="420">
        <f>IF(ISBLANK('3、期末成绩'!CL25)," ",'3、期末成绩'!CL25)</f>
        <v>23</v>
      </c>
      <c r="T25" s="420">
        <f>IF(ISBLANK('3、期末成绩'!CM25)," ",'3、期末成绩'!CM25)</f>
        <v>23</v>
      </c>
      <c r="U25" s="420">
        <f>IF(ISBLANK('3、期末成绩'!CN25)," ",'3、期末成绩'!CN25)</f>
        <v>23</v>
      </c>
      <c r="V25" s="420">
        <v>44</v>
      </c>
    </row>
    <row r="26" spans="1:22">
      <c r="A26" s="243" t="str">
        <f>IF(ISBLANK('3、期末成绩'!A26)," ",'3、期末成绩'!A26)</f>
        <v>1653127</v>
      </c>
      <c r="B26" s="244" t="str">
        <f>IF(A26=" "," ",VLOOKUP(A26,'3、期末成绩'!$A$2:$B$201,2,FALSE))</f>
        <v>刘存锟</v>
      </c>
      <c r="C26" s="425">
        <f ca="1" t="shared" si="4"/>
        <v>81</v>
      </c>
      <c r="D26" s="425">
        <f ca="1" t="shared" si="5"/>
        <v>73</v>
      </c>
      <c r="E26" s="426"/>
      <c r="F26" s="427"/>
      <c r="G26" s="427"/>
      <c r="H26" s="424">
        <f ca="1">IF(A26=" "," ",SUMPRODUCT($C26:$G26,'1、课程目标与考核方式'!$C$13:$G$13)/100)</f>
        <v>20.91</v>
      </c>
      <c r="I26" s="424">
        <f ca="1">IF(A26=" "," ",ROUND(H26/SUM('1、课程目标与考核方式'!$C$13:$G$13)*'1、课程目标与考核方式'!$I$13,0))</f>
        <v>60</v>
      </c>
      <c r="J26" s="420">
        <f>IF(ISBLANK('3、期末成绩'!CO26)," ",'3、期末成绩'!CO26)</f>
        <v>95</v>
      </c>
      <c r="K26" s="420">
        <f ca="1">IF(ISBLANK('3、期末成绩'!CP26)," ",'3、期末成绩'!CP26)</f>
        <v>68</v>
      </c>
      <c r="L26" s="420">
        <f>IF(ISBLANK('3、期末成绩'!CE26)," ",'3、期末成绩'!CE26)</f>
        <v>24</v>
      </c>
      <c r="M26" s="420">
        <f>IF(ISBLANK('3、期末成绩'!CF26)," ",'3、期末成绩'!CF26)</f>
        <v>24</v>
      </c>
      <c r="N26" s="420">
        <f>IF(ISBLANK('3、期末成绩'!CG26)," ",'3、期末成绩'!CG26)</f>
        <v>24</v>
      </c>
      <c r="O26" s="420">
        <f>IF(ISBLANK('3、期末成绩'!CH26)," ",'3、期末成绩'!CH26)</f>
        <v>24</v>
      </c>
      <c r="P26" s="420">
        <f>IF(ISBLANK('3、期末成绩'!CI26)," ",'3、期末成绩'!CI26)</f>
        <v>24</v>
      </c>
      <c r="Q26" s="420">
        <f>IF(ISBLANK('3、期末成绩'!CJ26)," ",'3、期末成绩'!CJ26)</f>
        <v>24</v>
      </c>
      <c r="R26" s="420">
        <f>IF(ISBLANK('3、期末成绩'!CK26)," ",'3、期末成绩'!CK26)</f>
        <v>24</v>
      </c>
      <c r="S26" s="420">
        <f>IF(ISBLANK('3、期末成绩'!CL26)," ",'3、期末成绩'!CL26)</f>
        <v>24</v>
      </c>
      <c r="T26" s="420">
        <f>IF(ISBLANK('3、期末成绩'!CM26)," ",'3、期末成绩'!CM26)</f>
        <v>24</v>
      </c>
      <c r="U26" s="420">
        <f>IF(ISBLANK('3、期末成绩'!CN26)," ",'3、期末成绩'!CN26)</f>
        <v>24</v>
      </c>
      <c r="V26" s="420">
        <v>72</v>
      </c>
    </row>
    <row r="27" spans="1:22">
      <c r="A27" s="243" t="str">
        <f>IF(ISBLANK('3、期末成绩'!A27)," ",'3、期末成绩'!A27)</f>
        <v>1653128</v>
      </c>
      <c r="B27" s="244" t="str">
        <f>IF(A27=" "," ",VLOOKUP(A27,'3、期末成绩'!$A$2:$B$201,2,FALSE))</f>
        <v>贾振玉</v>
      </c>
      <c r="C27" s="425">
        <f ca="1" t="shared" si="4"/>
        <v>76</v>
      </c>
      <c r="D27" s="425">
        <f ca="1" t="shared" si="5"/>
        <v>78</v>
      </c>
      <c r="E27" s="426"/>
      <c r="F27" s="427"/>
      <c r="G27" s="427"/>
      <c r="H27" s="424">
        <f ca="1">IF(A27=" "," ",SUMPRODUCT($C27:$G27,'1、课程目标与考核方式'!$C$13:$G$13)/100)</f>
        <v>20.76</v>
      </c>
      <c r="I27" s="424">
        <f ca="1">IF(A27=" "," ",ROUND(H27/SUM('1、课程目标与考核方式'!$C$13:$G$13)*'1、课程目标与考核方式'!$I$13,0))</f>
        <v>59</v>
      </c>
      <c r="J27" s="420">
        <f>IF(ISBLANK('3、期末成绩'!CO27)," ",'3、期末成绩'!CO27)</f>
        <v>95</v>
      </c>
      <c r="K27" s="420">
        <f ca="1">IF(ISBLANK('3、期末成绩'!CP27)," ",'3、期末成绩'!CP27)</f>
        <v>68</v>
      </c>
      <c r="L27" s="420">
        <f>IF(ISBLANK('3、期末成绩'!CE27)," ",'3、期末成绩'!CE27)</f>
        <v>25</v>
      </c>
      <c r="M27" s="420">
        <f>IF(ISBLANK('3、期末成绩'!CF27)," ",'3、期末成绩'!CF27)</f>
        <v>25</v>
      </c>
      <c r="N27" s="420">
        <f>IF(ISBLANK('3、期末成绩'!CG27)," ",'3、期末成绩'!CG27)</f>
        <v>25</v>
      </c>
      <c r="O27" s="420">
        <f>IF(ISBLANK('3、期末成绩'!CH27)," ",'3、期末成绩'!CH27)</f>
        <v>25</v>
      </c>
      <c r="P27" s="420">
        <f>IF(ISBLANK('3、期末成绩'!CI27)," ",'3、期末成绩'!CI27)</f>
        <v>25</v>
      </c>
      <c r="Q27" s="420">
        <f>IF(ISBLANK('3、期末成绩'!CJ27)," ",'3、期末成绩'!CJ27)</f>
        <v>25</v>
      </c>
      <c r="R27" s="420">
        <f>IF(ISBLANK('3、期末成绩'!CK27)," ",'3、期末成绩'!CK27)</f>
        <v>25</v>
      </c>
      <c r="S27" s="420">
        <f>IF(ISBLANK('3、期末成绩'!CL27)," ",'3、期末成绩'!CL27)</f>
        <v>25</v>
      </c>
      <c r="T27" s="420">
        <f>IF(ISBLANK('3、期末成绩'!CM27)," ",'3、期末成绩'!CM27)</f>
        <v>25</v>
      </c>
      <c r="U27" s="420">
        <f>IF(ISBLANK('3、期末成绩'!CN27)," ",'3、期末成绩'!CN27)</f>
        <v>25</v>
      </c>
      <c r="V27" s="420">
        <v>53</v>
      </c>
    </row>
    <row r="28" spans="1:22">
      <c r="A28" s="243" t="str">
        <f>IF(ISBLANK('3、期末成绩'!A28)," ",'3、期末成绩'!A28)</f>
        <v>1653130</v>
      </c>
      <c r="B28" s="244" t="str">
        <f>IF(A28=" "," ",VLOOKUP(A28,'3、期末成绩'!$A$2:$B$201,2,FALSE))</f>
        <v>覃戈</v>
      </c>
      <c r="C28" s="425">
        <f ca="1" t="shared" si="4"/>
        <v>100</v>
      </c>
      <c r="D28" s="425">
        <f ca="1" t="shared" si="5"/>
        <v>82</v>
      </c>
      <c r="E28" s="426"/>
      <c r="F28" s="427"/>
      <c r="G28" s="427"/>
      <c r="H28" s="424">
        <f ca="1">IF(A28=" "," ",SUMPRODUCT($C28:$G28,'1、课程目标与考核方式'!$C$13:$G$13)/100)</f>
        <v>24.84</v>
      </c>
      <c r="I28" s="424">
        <f ca="1">IF(A28=" "," ",ROUND(H28/SUM('1、课程目标与考核方式'!$C$13:$G$13)*'1、课程目标与考核方式'!$I$13,0))</f>
        <v>71</v>
      </c>
      <c r="J28" s="420">
        <f>IF(ISBLANK('3、期末成绩'!CO28)," ",'3、期末成绩'!CO28)</f>
        <v>95</v>
      </c>
      <c r="K28" s="420">
        <f ca="1">IF(ISBLANK('3、期末成绩'!CP28)," ",'3、期末成绩'!CP28)</f>
        <v>72</v>
      </c>
      <c r="L28" s="420">
        <f>IF(ISBLANK('3、期末成绩'!CE28)," ",'3、期末成绩'!CE28)</f>
        <v>26</v>
      </c>
      <c r="M28" s="420">
        <f>IF(ISBLANK('3、期末成绩'!CF28)," ",'3、期末成绩'!CF28)</f>
        <v>26</v>
      </c>
      <c r="N28" s="420">
        <f>IF(ISBLANK('3、期末成绩'!CG28)," ",'3、期末成绩'!CG28)</f>
        <v>26</v>
      </c>
      <c r="O28" s="420">
        <f>IF(ISBLANK('3、期末成绩'!CH28)," ",'3、期末成绩'!CH28)</f>
        <v>26</v>
      </c>
      <c r="P28" s="420">
        <f>IF(ISBLANK('3、期末成绩'!CI28)," ",'3、期末成绩'!CI28)</f>
        <v>26</v>
      </c>
      <c r="Q28" s="420">
        <f>IF(ISBLANK('3、期末成绩'!CJ28)," ",'3、期末成绩'!CJ28)</f>
        <v>26</v>
      </c>
      <c r="R28" s="420">
        <f>IF(ISBLANK('3、期末成绩'!CK28)," ",'3、期末成绩'!CK28)</f>
        <v>26</v>
      </c>
      <c r="S28" s="420">
        <f>IF(ISBLANK('3、期末成绩'!CL28)," ",'3、期末成绩'!CL28)</f>
        <v>26</v>
      </c>
      <c r="T28" s="420">
        <f>IF(ISBLANK('3、期末成绩'!CM28)," ",'3、期末成绩'!CM28)</f>
        <v>26</v>
      </c>
      <c r="U28" s="420">
        <f>IF(ISBLANK('3、期末成绩'!CN28)," ",'3、期末成绩'!CN28)</f>
        <v>26</v>
      </c>
      <c r="V28" s="420">
        <v>76</v>
      </c>
    </row>
    <row r="29" spans="1:22">
      <c r="A29" s="243" t="str">
        <f>IF(ISBLANK('3、期末成绩'!A29)," ",'3、期末成绩'!A29)</f>
        <v>1653133</v>
      </c>
      <c r="B29" s="244" t="str">
        <f>IF(A29=" "," ",VLOOKUP(A29,'3、期末成绩'!$A$2:$B$201,2,FALSE))</f>
        <v>董伟</v>
      </c>
      <c r="C29" s="425">
        <f ca="1" t="shared" si="4"/>
        <v>73</v>
      </c>
      <c r="D29" s="425">
        <f ca="1" t="shared" si="5"/>
        <v>96</v>
      </c>
      <c r="E29" s="426"/>
      <c r="F29" s="427"/>
      <c r="G29" s="427"/>
      <c r="H29" s="424">
        <f ca="1">IF(A29=" "," ",SUMPRODUCT($C29:$G29,'1、课程目标与考核方式'!$C$13:$G$13)/100)</f>
        <v>22.47</v>
      </c>
      <c r="I29" s="424">
        <f ca="1">IF(A29=" "," ",ROUND(H29/SUM('1、课程目标与考核方式'!$C$13:$G$13)*'1、课程目标与考核方式'!$I$13,0))</f>
        <v>64</v>
      </c>
      <c r="J29" s="420">
        <f>IF(ISBLANK('3、期末成绩'!CO29)," ",'3、期末成绩'!CO29)</f>
        <v>95</v>
      </c>
      <c r="K29" s="420">
        <f ca="1">IF(ISBLANK('3、期末成绩'!CP29)," ",'3、期末成绩'!CP29)</f>
        <v>70</v>
      </c>
      <c r="L29" s="420">
        <f>IF(ISBLANK('3、期末成绩'!CE29)," ",'3、期末成绩'!CE29)</f>
        <v>27</v>
      </c>
      <c r="M29" s="420">
        <f>IF(ISBLANK('3、期末成绩'!CF29)," ",'3、期末成绩'!CF29)</f>
        <v>27</v>
      </c>
      <c r="N29" s="420">
        <f>IF(ISBLANK('3、期末成绩'!CG29)," ",'3、期末成绩'!CG29)</f>
        <v>27</v>
      </c>
      <c r="O29" s="420">
        <f>IF(ISBLANK('3、期末成绩'!CH29)," ",'3、期末成绩'!CH29)</f>
        <v>27</v>
      </c>
      <c r="P29" s="420">
        <f>IF(ISBLANK('3、期末成绩'!CI29)," ",'3、期末成绩'!CI29)</f>
        <v>27</v>
      </c>
      <c r="Q29" s="420">
        <f>IF(ISBLANK('3、期末成绩'!CJ29)," ",'3、期末成绩'!CJ29)</f>
        <v>27</v>
      </c>
      <c r="R29" s="420">
        <f>IF(ISBLANK('3、期末成绩'!CK29)," ",'3、期末成绩'!CK29)</f>
        <v>27</v>
      </c>
      <c r="S29" s="420">
        <f>IF(ISBLANK('3、期末成绩'!CL29)," ",'3、期末成绩'!CL29)</f>
        <v>27</v>
      </c>
      <c r="T29" s="420">
        <f>IF(ISBLANK('3、期末成绩'!CM29)," ",'3、期末成绩'!CM29)</f>
        <v>27</v>
      </c>
      <c r="U29" s="420">
        <f>IF(ISBLANK('3、期末成绩'!CN29)," ",'3、期末成绩'!CN29)</f>
        <v>27</v>
      </c>
      <c r="V29" s="420">
        <v>72.5</v>
      </c>
    </row>
    <row r="30" spans="1:22">
      <c r="A30" s="243" t="str">
        <f>IF(ISBLANK('3、期末成绩'!A30)," ",'3、期末成绩'!A30)</f>
        <v>1653134</v>
      </c>
      <c r="B30" s="244" t="str">
        <f>IF(A30=" "," ",VLOOKUP(A30,'3、期末成绩'!$A$2:$B$201,2,FALSE))</f>
        <v>石昊宇</v>
      </c>
      <c r="C30" s="425">
        <f ca="1" t="shared" si="4"/>
        <v>88</v>
      </c>
      <c r="D30" s="425">
        <f ca="1" t="shared" si="5"/>
        <v>94</v>
      </c>
      <c r="E30" s="426"/>
      <c r="F30" s="427"/>
      <c r="G30" s="427"/>
      <c r="H30" s="424">
        <f ca="1">IF(A30=" "," ",SUMPRODUCT($C30:$G30,'1、课程目标与考核方式'!$C$13:$G$13)/100)</f>
        <v>24.48</v>
      </c>
      <c r="I30" s="424">
        <f ca="1">IF(A30=" "," ",ROUND(H30/SUM('1、课程目标与考核方式'!$C$13:$G$13)*'1、课程目标与考核方式'!$I$13,0))</f>
        <v>70</v>
      </c>
      <c r="J30" s="420">
        <f>IF(ISBLANK('3、期末成绩'!CO30)," ",'3、期末成绩'!CO30)</f>
        <v>95</v>
      </c>
      <c r="K30" s="420">
        <f ca="1">IF(ISBLANK('3、期末成绩'!CP30)," ",'3、期末成绩'!CP30)</f>
        <v>72</v>
      </c>
      <c r="L30" s="420">
        <f>IF(ISBLANK('3、期末成绩'!CE30)," ",'3、期末成绩'!CE30)</f>
        <v>28</v>
      </c>
      <c r="M30" s="420">
        <f>IF(ISBLANK('3、期末成绩'!CF30)," ",'3、期末成绩'!CF30)</f>
        <v>28</v>
      </c>
      <c r="N30" s="420">
        <f>IF(ISBLANK('3、期末成绩'!CG30)," ",'3、期末成绩'!CG30)</f>
        <v>28</v>
      </c>
      <c r="O30" s="420">
        <f>IF(ISBLANK('3、期末成绩'!CH30)," ",'3、期末成绩'!CH30)</f>
        <v>28</v>
      </c>
      <c r="P30" s="420">
        <f>IF(ISBLANK('3、期末成绩'!CI30)," ",'3、期末成绩'!CI30)</f>
        <v>28</v>
      </c>
      <c r="Q30" s="420">
        <f>IF(ISBLANK('3、期末成绩'!CJ30)," ",'3、期末成绩'!CJ30)</f>
        <v>28</v>
      </c>
      <c r="R30" s="420">
        <f>IF(ISBLANK('3、期末成绩'!CK30)," ",'3、期末成绩'!CK30)</f>
        <v>28</v>
      </c>
      <c r="S30" s="420">
        <f>IF(ISBLANK('3、期末成绩'!CL30)," ",'3、期末成绩'!CL30)</f>
        <v>28</v>
      </c>
      <c r="T30" s="420">
        <f>IF(ISBLANK('3、期末成绩'!CM30)," ",'3、期末成绩'!CM30)</f>
        <v>28</v>
      </c>
      <c r="U30" s="420">
        <f>IF(ISBLANK('3、期末成绩'!CN30)," ",'3、期末成绩'!CN30)</f>
        <v>28</v>
      </c>
      <c r="V30" s="420">
        <v>66</v>
      </c>
    </row>
    <row r="31" spans="1:22">
      <c r="A31" s="243" t="str">
        <f>IF(ISBLANK('3、期末成绩'!A31)," ",'3、期末成绩'!A31)</f>
        <v>1653135</v>
      </c>
      <c r="B31" s="244" t="str">
        <f>IF(A31=" "," ",VLOOKUP(A31,'3、期末成绩'!$A$2:$B$201,2,FALSE))</f>
        <v>刘云强</v>
      </c>
      <c r="C31" s="425">
        <f ca="1" t="shared" si="4"/>
        <v>79</v>
      </c>
      <c r="D31" s="425">
        <f ca="1" t="shared" si="5"/>
        <v>66</v>
      </c>
      <c r="E31" s="426"/>
      <c r="F31" s="427"/>
      <c r="G31" s="427"/>
      <c r="H31" s="424">
        <f ca="1">IF(A31=" "," ",SUMPRODUCT($C31:$G31,'1、课程目标与考核方式'!$C$13:$G$13)/100)</f>
        <v>19.77</v>
      </c>
      <c r="I31" s="424">
        <f ca="1">IF(A31=" "," ",ROUND(H31/SUM('1、课程目标与考核方式'!$C$13:$G$13)*'1、课程目标与考核方式'!$I$13,0))</f>
        <v>56</v>
      </c>
      <c r="J31" s="420">
        <f>IF(ISBLANK('3、期末成绩'!CO31)," ",'3、期末成绩'!CO31)</f>
        <v>95</v>
      </c>
      <c r="K31" s="420">
        <f ca="1">IF(ISBLANK('3、期末成绩'!CP31)," ",'3、期末成绩'!CP31)</f>
        <v>67</v>
      </c>
      <c r="L31" s="420">
        <f>IF(ISBLANK('3、期末成绩'!CE31)," ",'3、期末成绩'!CE31)</f>
        <v>29</v>
      </c>
      <c r="M31" s="420">
        <f>IF(ISBLANK('3、期末成绩'!CF31)," ",'3、期末成绩'!CF31)</f>
        <v>29</v>
      </c>
      <c r="N31" s="420">
        <f>IF(ISBLANK('3、期末成绩'!CG31)," ",'3、期末成绩'!CG31)</f>
        <v>29</v>
      </c>
      <c r="O31" s="420">
        <f>IF(ISBLANK('3、期末成绩'!CH31)," ",'3、期末成绩'!CH31)</f>
        <v>29</v>
      </c>
      <c r="P31" s="420">
        <f>IF(ISBLANK('3、期末成绩'!CI31)," ",'3、期末成绩'!CI31)</f>
        <v>29</v>
      </c>
      <c r="Q31" s="420">
        <f>IF(ISBLANK('3、期末成绩'!CJ31)," ",'3、期末成绩'!CJ31)</f>
        <v>29</v>
      </c>
      <c r="R31" s="420">
        <f>IF(ISBLANK('3、期末成绩'!CK31)," ",'3、期末成绩'!CK31)</f>
        <v>29</v>
      </c>
      <c r="S31" s="420">
        <f>IF(ISBLANK('3、期末成绩'!CL31)," ",'3、期末成绩'!CL31)</f>
        <v>29</v>
      </c>
      <c r="T31" s="420">
        <f>IF(ISBLANK('3、期末成绩'!CM31)," ",'3、期末成绩'!CM31)</f>
        <v>29</v>
      </c>
      <c r="U31" s="420">
        <f>IF(ISBLANK('3、期末成绩'!CN31)," ",'3、期末成绩'!CN31)</f>
        <v>29</v>
      </c>
      <c r="V31" s="420">
        <v>54</v>
      </c>
    </row>
    <row r="32" spans="1:22">
      <c r="A32" s="243" t="str">
        <f>IF(ISBLANK('3、期末成绩'!A32)," ",'3、期末成绩'!A32)</f>
        <v>1653136</v>
      </c>
      <c r="B32" s="244" t="str">
        <f>IF(A32=" "," ",VLOOKUP(A32,'3、期末成绩'!$A$2:$B$201,2,FALSE))</f>
        <v>孙振运</v>
      </c>
      <c r="C32" s="425">
        <f ca="1" t="shared" si="4"/>
        <v>99</v>
      </c>
      <c r="D32" s="425">
        <f ca="1" t="shared" si="5"/>
        <v>61</v>
      </c>
      <c r="E32" s="426"/>
      <c r="F32" s="427"/>
      <c r="G32" s="427"/>
      <c r="H32" s="424">
        <f ca="1">IF(A32=" "," ",SUMPRODUCT($C32:$G32,'1、课程目标与考核方式'!$C$13:$G$13)/100)</f>
        <v>22.17</v>
      </c>
      <c r="I32" s="424">
        <f ca="1">IF(A32=" "," ",ROUND(H32/SUM('1、课程目标与考核方式'!$C$13:$G$13)*'1、课程目标与考核方式'!$I$13,0))</f>
        <v>63</v>
      </c>
      <c r="J32" s="420">
        <f>IF(ISBLANK('3、期末成绩'!CO32)," ",'3、期末成绩'!CO32)</f>
        <v>95</v>
      </c>
      <c r="K32" s="420">
        <f ca="1">IF(ISBLANK('3、期末成绩'!CP32)," ",'3、期末成绩'!CP32)</f>
        <v>70</v>
      </c>
      <c r="L32" s="420">
        <f>IF(ISBLANK('3、期末成绩'!CE32)," ",'3、期末成绩'!CE32)</f>
        <v>30</v>
      </c>
      <c r="M32" s="420">
        <f>IF(ISBLANK('3、期末成绩'!CF32)," ",'3、期末成绩'!CF32)</f>
        <v>30</v>
      </c>
      <c r="N32" s="420">
        <f>IF(ISBLANK('3、期末成绩'!CG32)," ",'3、期末成绩'!CG32)</f>
        <v>30</v>
      </c>
      <c r="O32" s="420">
        <f>IF(ISBLANK('3、期末成绩'!CH32)," ",'3、期末成绩'!CH32)</f>
        <v>30</v>
      </c>
      <c r="P32" s="420">
        <f>IF(ISBLANK('3、期末成绩'!CI32)," ",'3、期末成绩'!CI32)</f>
        <v>30</v>
      </c>
      <c r="Q32" s="420">
        <f>IF(ISBLANK('3、期末成绩'!CJ32)," ",'3、期末成绩'!CJ32)</f>
        <v>30</v>
      </c>
      <c r="R32" s="420">
        <f>IF(ISBLANK('3、期末成绩'!CK32)," ",'3、期末成绩'!CK32)</f>
        <v>30</v>
      </c>
      <c r="S32" s="420">
        <f>IF(ISBLANK('3、期末成绩'!CL32)," ",'3、期末成绩'!CL32)</f>
        <v>30</v>
      </c>
      <c r="T32" s="420">
        <f>IF(ISBLANK('3、期末成绩'!CM32)," ",'3、期末成绩'!CM32)</f>
        <v>30</v>
      </c>
      <c r="U32" s="420">
        <f>IF(ISBLANK('3、期末成绩'!CN32)," ",'3、期末成绩'!CN32)</f>
        <v>30</v>
      </c>
      <c r="V32" s="420">
        <v>57</v>
      </c>
    </row>
    <row r="33" spans="1:22">
      <c r="A33" s="243" t="str">
        <f>IF(ISBLANK('3、期末成绩'!A33)," ",'3、期末成绩'!A33)</f>
        <v>1653137</v>
      </c>
      <c r="B33" s="244" t="str">
        <f>IF(A33=" "," ",VLOOKUP(A33,'3、期末成绩'!$A$2:$B$201,2,FALSE))</f>
        <v>董静</v>
      </c>
      <c r="C33" s="425">
        <f ca="1" t="shared" ref="C33:C42" si="6">60+RANDBETWEEN(0,40)</f>
        <v>82</v>
      </c>
      <c r="D33" s="425">
        <f ca="1" t="shared" ref="D33:D42" si="7">60+RANDBETWEEN(0,40)</f>
        <v>95</v>
      </c>
      <c r="E33" s="426"/>
      <c r="F33" s="427"/>
      <c r="G33" s="427"/>
      <c r="H33" s="424">
        <f ca="1">IF(A33=" "," ",SUMPRODUCT($C33:$G33,'1、课程目标与考核方式'!$C$13:$G$13)/100)</f>
        <v>23.7</v>
      </c>
      <c r="I33" s="424">
        <f ca="1">IF(A33=" "," ",ROUND(H33/SUM('1、课程目标与考核方式'!$C$13:$G$13)*'1、课程目标与考核方式'!$I$13,0))</f>
        <v>68</v>
      </c>
      <c r="J33" s="420">
        <f>IF(ISBLANK('3、期末成绩'!CO33)," ",'3、期末成绩'!CO33)</f>
        <v>95</v>
      </c>
      <c r="K33" s="420">
        <f ca="1">IF(ISBLANK('3、期末成绩'!CP33)," ",'3、期末成绩'!CP33)</f>
        <v>71</v>
      </c>
      <c r="L33" s="420">
        <f>IF(ISBLANK('3、期末成绩'!CE33)," ",'3、期末成绩'!CE33)</f>
        <v>31</v>
      </c>
      <c r="M33" s="420">
        <f>IF(ISBLANK('3、期末成绩'!CF33)," ",'3、期末成绩'!CF33)</f>
        <v>31</v>
      </c>
      <c r="N33" s="420">
        <f>IF(ISBLANK('3、期末成绩'!CG33)," ",'3、期末成绩'!CG33)</f>
        <v>31</v>
      </c>
      <c r="O33" s="420">
        <f>IF(ISBLANK('3、期末成绩'!CH33)," ",'3、期末成绩'!CH33)</f>
        <v>31</v>
      </c>
      <c r="P33" s="420">
        <f>IF(ISBLANK('3、期末成绩'!CI33)," ",'3、期末成绩'!CI33)</f>
        <v>31</v>
      </c>
      <c r="Q33" s="420">
        <f>IF(ISBLANK('3、期末成绩'!CJ33)," ",'3、期末成绩'!CJ33)</f>
        <v>31</v>
      </c>
      <c r="R33" s="420">
        <f>IF(ISBLANK('3、期末成绩'!CK33)," ",'3、期末成绩'!CK33)</f>
        <v>31</v>
      </c>
      <c r="S33" s="420">
        <f>IF(ISBLANK('3、期末成绩'!CL33)," ",'3、期末成绩'!CL33)</f>
        <v>31</v>
      </c>
      <c r="T33" s="420">
        <f>IF(ISBLANK('3、期末成绩'!CM33)," ",'3、期末成绩'!CM33)</f>
        <v>31</v>
      </c>
      <c r="U33" s="420">
        <f>IF(ISBLANK('3、期末成绩'!CN33)," ",'3、期末成绩'!CN33)</f>
        <v>31</v>
      </c>
      <c r="V33" s="420">
        <v>66</v>
      </c>
    </row>
    <row r="34" spans="1:22">
      <c r="A34" s="243" t="str">
        <f>IF(ISBLANK('3、期末成绩'!A34)," ",'3、期末成绩'!A34)</f>
        <v>1653138</v>
      </c>
      <c r="B34" s="244" t="str">
        <f>IF(A34=" "," ",VLOOKUP(A34,'3、期末成绩'!$A$2:$B$201,2,FALSE))</f>
        <v>姜星竹</v>
      </c>
      <c r="C34" s="425">
        <f ca="1" t="shared" si="6"/>
        <v>89</v>
      </c>
      <c r="D34" s="425">
        <f ca="1" t="shared" si="7"/>
        <v>94</v>
      </c>
      <c r="E34" s="426"/>
      <c r="F34" s="427"/>
      <c r="G34" s="427"/>
      <c r="H34" s="424">
        <f ca="1">IF(A34=" "," ",SUMPRODUCT($C34:$G34,'1、课程目标与考核方式'!$C$13:$G$13)/100)</f>
        <v>24.63</v>
      </c>
      <c r="I34" s="424">
        <f ca="1">IF(A34=" "," ",ROUND(H34/SUM('1、课程目标与考核方式'!$C$13:$G$13)*'1、课程目标与考核方式'!$I$13,0))</f>
        <v>70</v>
      </c>
      <c r="J34" s="420">
        <f>IF(ISBLANK('3、期末成绩'!CO34)," ",'3、期末成绩'!CO34)</f>
        <v>95</v>
      </c>
      <c r="K34" s="420">
        <f ca="1">IF(ISBLANK('3、期末成绩'!CP34)," ",'3、期末成绩'!CP34)</f>
        <v>72</v>
      </c>
      <c r="L34" s="420">
        <f>IF(ISBLANK('3、期末成绩'!CE34)," ",'3、期末成绩'!CE34)</f>
        <v>32</v>
      </c>
      <c r="M34" s="420">
        <f>IF(ISBLANK('3、期末成绩'!CF34)," ",'3、期末成绩'!CF34)</f>
        <v>32</v>
      </c>
      <c r="N34" s="420">
        <f>IF(ISBLANK('3、期末成绩'!CG34)," ",'3、期末成绩'!CG34)</f>
        <v>32</v>
      </c>
      <c r="O34" s="420">
        <f>IF(ISBLANK('3、期末成绩'!CH34)," ",'3、期末成绩'!CH34)</f>
        <v>32</v>
      </c>
      <c r="P34" s="420">
        <f>IF(ISBLANK('3、期末成绩'!CI34)," ",'3、期末成绩'!CI34)</f>
        <v>32</v>
      </c>
      <c r="Q34" s="420">
        <f>IF(ISBLANK('3、期末成绩'!CJ34)," ",'3、期末成绩'!CJ34)</f>
        <v>32</v>
      </c>
      <c r="R34" s="420">
        <f>IF(ISBLANK('3、期末成绩'!CK34)," ",'3、期末成绩'!CK34)</f>
        <v>32</v>
      </c>
      <c r="S34" s="420">
        <f>IF(ISBLANK('3、期末成绩'!CL34)," ",'3、期末成绩'!CL34)</f>
        <v>32</v>
      </c>
      <c r="T34" s="420">
        <f>IF(ISBLANK('3、期末成绩'!CM34)," ",'3、期末成绩'!CM34)</f>
        <v>32</v>
      </c>
      <c r="U34" s="420">
        <f>IF(ISBLANK('3、期末成绩'!CN34)," ",'3、期末成绩'!CN34)</f>
        <v>32</v>
      </c>
      <c r="V34" s="420">
        <v>66</v>
      </c>
    </row>
    <row r="35" spans="1:22">
      <c r="A35" s="243" t="str">
        <f>IF(ISBLANK('3、期末成绩'!A35)," ",'3、期末成绩'!A35)</f>
        <v>1653139</v>
      </c>
      <c r="B35" s="244" t="str">
        <f>IF(A35=" "," ",VLOOKUP(A35,'3、期末成绩'!$A$2:$B$201,2,FALSE))</f>
        <v>李少卿</v>
      </c>
      <c r="C35" s="425">
        <f ca="1" t="shared" si="6"/>
        <v>95</v>
      </c>
      <c r="D35" s="425">
        <f ca="1" t="shared" si="7"/>
        <v>94</v>
      </c>
      <c r="E35" s="426"/>
      <c r="F35" s="427"/>
      <c r="G35" s="427"/>
      <c r="H35" s="424">
        <f ca="1">IF(A35=" "," ",SUMPRODUCT($C35:$G35,'1、课程目标与考核方式'!$C$13:$G$13)/100)</f>
        <v>25.53</v>
      </c>
      <c r="I35" s="424">
        <f ca="1">IF(A35=" "," ",ROUND(H35/SUM('1、课程目标与考核方式'!$C$13:$G$13)*'1、课程目标与考核方式'!$I$13,0))</f>
        <v>73</v>
      </c>
      <c r="J35" s="420">
        <f>IF(ISBLANK('3、期末成绩'!CO35)," ",'3、期末成绩'!CO35)</f>
        <v>95</v>
      </c>
      <c r="K35" s="420">
        <f ca="1">IF(ISBLANK('3、期末成绩'!CP35)," ",'3、期末成绩'!CP35)</f>
        <v>73</v>
      </c>
      <c r="L35" s="420">
        <f>IF(ISBLANK('3、期末成绩'!CE35)," ",'3、期末成绩'!CE35)</f>
        <v>33</v>
      </c>
      <c r="M35" s="420">
        <f>IF(ISBLANK('3、期末成绩'!CF35)," ",'3、期末成绩'!CF35)</f>
        <v>33</v>
      </c>
      <c r="N35" s="420">
        <f>IF(ISBLANK('3、期末成绩'!CG35)," ",'3、期末成绩'!CG35)</f>
        <v>33</v>
      </c>
      <c r="O35" s="420">
        <f>IF(ISBLANK('3、期末成绩'!CH35)," ",'3、期末成绩'!CH35)</f>
        <v>33</v>
      </c>
      <c r="P35" s="420">
        <f>IF(ISBLANK('3、期末成绩'!CI35)," ",'3、期末成绩'!CI35)</f>
        <v>33</v>
      </c>
      <c r="Q35" s="420">
        <f>IF(ISBLANK('3、期末成绩'!CJ35)," ",'3、期末成绩'!CJ35)</f>
        <v>33</v>
      </c>
      <c r="R35" s="420">
        <f>IF(ISBLANK('3、期末成绩'!CK35)," ",'3、期末成绩'!CK35)</f>
        <v>33</v>
      </c>
      <c r="S35" s="420">
        <f>IF(ISBLANK('3、期末成绩'!CL35)," ",'3、期末成绩'!CL35)</f>
        <v>33</v>
      </c>
      <c r="T35" s="420">
        <f>IF(ISBLANK('3、期末成绩'!CM35)," ",'3、期末成绩'!CM35)</f>
        <v>33</v>
      </c>
      <c r="U35" s="420">
        <f>IF(ISBLANK('3、期末成绩'!CN35)," ",'3、期末成绩'!CN35)</f>
        <v>33</v>
      </c>
      <c r="V35" s="420">
        <v>86</v>
      </c>
    </row>
    <row r="36" spans="1:22">
      <c r="A36" s="243" t="str">
        <f>IF(ISBLANK('3、期末成绩'!A36)," ",'3、期末成绩'!A36)</f>
        <v>1653140</v>
      </c>
      <c r="B36" s="244" t="str">
        <f>IF(A36=" "," ",VLOOKUP(A36,'3、期末成绩'!$A$2:$B$201,2,FALSE))</f>
        <v>童玉婷</v>
      </c>
      <c r="C36" s="425">
        <f ca="1" t="shared" si="6"/>
        <v>100</v>
      </c>
      <c r="D36" s="425">
        <f ca="1" t="shared" si="7"/>
        <v>66</v>
      </c>
      <c r="E36" s="426"/>
      <c r="F36" s="427"/>
      <c r="G36" s="427"/>
      <c r="H36" s="424">
        <f ca="1">IF(A36=" "," ",SUMPRODUCT($C36:$G36,'1、课程目标与考核方式'!$C$13:$G$13)/100)</f>
        <v>22.92</v>
      </c>
      <c r="I36" s="424">
        <f ca="1">IF(A36=" "," ",ROUND(H36/SUM('1、课程目标与考核方式'!$C$13:$G$13)*'1、课程目标与考核方式'!$I$13,0))</f>
        <v>65</v>
      </c>
      <c r="J36" s="420">
        <f>IF(ISBLANK('3、期末成绩'!CO36)," ",'3、期末成绩'!CO36)</f>
        <v>95</v>
      </c>
      <c r="K36" s="420">
        <f ca="1">IF(ISBLANK('3、期末成绩'!CP36)," ",'3、期末成绩'!CP36)</f>
        <v>70</v>
      </c>
      <c r="L36" s="420">
        <f>IF(ISBLANK('3、期末成绩'!CE36)," ",'3、期末成绩'!CE36)</f>
        <v>34</v>
      </c>
      <c r="M36" s="420">
        <f>IF(ISBLANK('3、期末成绩'!CF36)," ",'3、期末成绩'!CF36)</f>
        <v>34</v>
      </c>
      <c r="N36" s="420">
        <f>IF(ISBLANK('3、期末成绩'!CG36)," ",'3、期末成绩'!CG36)</f>
        <v>34</v>
      </c>
      <c r="O36" s="420">
        <f>IF(ISBLANK('3、期末成绩'!CH36)," ",'3、期末成绩'!CH36)</f>
        <v>34</v>
      </c>
      <c r="P36" s="420">
        <f>IF(ISBLANK('3、期末成绩'!CI36)," ",'3、期末成绩'!CI36)</f>
        <v>34</v>
      </c>
      <c r="Q36" s="420">
        <f>IF(ISBLANK('3、期末成绩'!CJ36)," ",'3、期末成绩'!CJ36)</f>
        <v>34</v>
      </c>
      <c r="R36" s="420">
        <f>IF(ISBLANK('3、期末成绩'!CK36)," ",'3、期末成绩'!CK36)</f>
        <v>34</v>
      </c>
      <c r="S36" s="420">
        <f>IF(ISBLANK('3、期末成绩'!CL36)," ",'3、期末成绩'!CL36)</f>
        <v>34</v>
      </c>
      <c r="T36" s="420">
        <f>IF(ISBLANK('3、期末成绩'!CM36)," ",'3、期末成绩'!CM36)</f>
        <v>34</v>
      </c>
      <c r="U36" s="420">
        <f>IF(ISBLANK('3、期末成绩'!CN36)," ",'3、期末成绩'!CN36)</f>
        <v>34</v>
      </c>
      <c r="V36" s="420">
        <v>62</v>
      </c>
    </row>
    <row r="37" spans="1:22">
      <c r="A37" s="243" t="str">
        <f>IF(ISBLANK('3、期末成绩'!A37)," ",'3、期末成绩'!A37)</f>
        <v>1653201</v>
      </c>
      <c r="B37" s="244" t="str">
        <f>IF(A37=" "," ",VLOOKUP(A37,'3、期末成绩'!$A$2:$B$201,2,FALSE))</f>
        <v>陈匡桦</v>
      </c>
      <c r="C37" s="425">
        <f ca="1" t="shared" si="6"/>
        <v>76</v>
      </c>
      <c r="D37" s="425">
        <f ca="1" t="shared" si="7"/>
        <v>93</v>
      </c>
      <c r="E37" s="426"/>
      <c r="F37" s="427"/>
      <c r="G37" s="427"/>
      <c r="H37" s="424">
        <f ca="1">IF(A37=" "," ",SUMPRODUCT($C37:$G37,'1、课程目标与考核方式'!$C$13:$G$13)/100)</f>
        <v>22.56</v>
      </c>
      <c r="I37" s="424">
        <f ca="1">IF(A37=" "," ",ROUND(H37/SUM('1、课程目标与考核方式'!$C$13:$G$13)*'1、课程目标与考核方式'!$I$13,0))</f>
        <v>64</v>
      </c>
      <c r="J37" s="420">
        <f>IF(ISBLANK('3、期末成绩'!CO37)," ",'3、期末成绩'!CO37)</f>
        <v>95</v>
      </c>
      <c r="K37" s="420">
        <f ca="1">IF(ISBLANK('3、期末成绩'!CP37)," ",'3、期末成绩'!CP37)</f>
        <v>70</v>
      </c>
      <c r="L37" s="420">
        <f>IF(ISBLANK('3、期末成绩'!CE37)," ",'3、期末成绩'!CE37)</f>
        <v>35</v>
      </c>
      <c r="M37" s="420">
        <f>IF(ISBLANK('3、期末成绩'!CF37)," ",'3、期末成绩'!CF37)</f>
        <v>35</v>
      </c>
      <c r="N37" s="420">
        <f>IF(ISBLANK('3、期末成绩'!CG37)," ",'3、期末成绩'!CG37)</f>
        <v>35</v>
      </c>
      <c r="O37" s="420">
        <f>IF(ISBLANK('3、期末成绩'!CH37)," ",'3、期末成绩'!CH37)</f>
        <v>35</v>
      </c>
      <c r="P37" s="420">
        <f>IF(ISBLANK('3、期末成绩'!CI37)," ",'3、期末成绩'!CI37)</f>
        <v>35</v>
      </c>
      <c r="Q37" s="420">
        <f>IF(ISBLANK('3、期末成绩'!CJ37)," ",'3、期末成绩'!CJ37)</f>
        <v>35</v>
      </c>
      <c r="R37" s="420">
        <f>IF(ISBLANK('3、期末成绩'!CK37)," ",'3、期末成绩'!CK37)</f>
        <v>35</v>
      </c>
      <c r="S37" s="420">
        <f>IF(ISBLANK('3、期末成绩'!CL37)," ",'3、期末成绩'!CL37)</f>
        <v>35</v>
      </c>
      <c r="T37" s="420">
        <f>IF(ISBLANK('3、期末成绩'!CM37)," ",'3、期末成绩'!CM37)</f>
        <v>35</v>
      </c>
      <c r="U37" s="420">
        <f>IF(ISBLANK('3、期末成绩'!CN37)," ",'3、期末成绩'!CN37)</f>
        <v>35</v>
      </c>
      <c r="V37" s="420">
        <v>56</v>
      </c>
    </row>
    <row r="38" spans="1:22">
      <c r="A38" s="243" t="str">
        <f>IF(ISBLANK('3、期末成绩'!A38)," ",'3、期末成绩'!A38)</f>
        <v>1653202</v>
      </c>
      <c r="B38" s="244" t="str">
        <f>IF(A38=" "," ",VLOOKUP(A38,'3、期末成绩'!$A$2:$B$201,2,FALSE))</f>
        <v>蔡文燕</v>
      </c>
      <c r="C38" s="425">
        <f ca="1" t="shared" si="6"/>
        <v>87</v>
      </c>
      <c r="D38" s="425">
        <f ca="1" t="shared" si="7"/>
        <v>66</v>
      </c>
      <c r="E38" s="426"/>
      <c r="F38" s="427"/>
      <c r="G38" s="427"/>
      <c r="H38" s="424">
        <f ca="1">IF(A38=" "," ",SUMPRODUCT($C38:$G38,'1、课程目标与考核方式'!$C$13:$G$13)/100)</f>
        <v>20.97</v>
      </c>
      <c r="I38" s="424">
        <f ca="1">IF(A38=" "," ",ROUND(H38/SUM('1、课程目标与考核方式'!$C$13:$G$13)*'1、课程目标与考核方式'!$I$13,0))</f>
        <v>60</v>
      </c>
      <c r="J38" s="420">
        <f>IF(ISBLANK('3、期末成绩'!CO38)," ",'3、期末成绩'!CO38)</f>
        <v>95</v>
      </c>
      <c r="K38" s="420">
        <f ca="1">IF(ISBLANK('3、期末成绩'!CP38)," ",'3、期末成绩'!CP38)</f>
        <v>68</v>
      </c>
      <c r="L38" s="420">
        <f>IF(ISBLANK('3、期末成绩'!CE38)," ",'3、期末成绩'!CE38)</f>
        <v>36</v>
      </c>
      <c r="M38" s="420">
        <f>IF(ISBLANK('3、期末成绩'!CF38)," ",'3、期末成绩'!CF38)</f>
        <v>36</v>
      </c>
      <c r="N38" s="420">
        <f>IF(ISBLANK('3、期末成绩'!CG38)," ",'3、期末成绩'!CG38)</f>
        <v>36</v>
      </c>
      <c r="O38" s="420">
        <f>IF(ISBLANK('3、期末成绩'!CH38)," ",'3、期末成绩'!CH38)</f>
        <v>36</v>
      </c>
      <c r="P38" s="420">
        <f>IF(ISBLANK('3、期末成绩'!CI38)," ",'3、期末成绩'!CI38)</f>
        <v>36</v>
      </c>
      <c r="Q38" s="420">
        <f>IF(ISBLANK('3、期末成绩'!CJ38)," ",'3、期末成绩'!CJ38)</f>
        <v>36</v>
      </c>
      <c r="R38" s="420">
        <f>IF(ISBLANK('3、期末成绩'!CK38)," ",'3、期末成绩'!CK38)</f>
        <v>36</v>
      </c>
      <c r="S38" s="420">
        <f>IF(ISBLANK('3、期末成绩'!CL38)," ",'3、期末成绩'!CL38)</f>
        <v>36</v>
      </c>
      <c r="T38" s="420">
        <f>IF(ISBLANK('3、期末成绩'!CM38)," ",'3、期末成绩'!CM38)</f>
        <v>36</v>
      </c>
      <c r="U38" s="420">
        <f>IF(ISBLANK('3、期末成绩'!CN38)," ",'3、期末成绩'!CN38)</f>
        <v>36</v>
      </c>
      <c r="V38" s="420">
        <v>32</v>
      </c>
    </row>
    <row r="39" spans="1:22">
      <c r="A39" s="243" t="str">
        <f>IF(ISBLANK('3、期末成绩'!A39)," ",'3、期末成绩'!A39)</f>
        <v>1653203</v>
      </c>
      <c r="B39" s="244" t="str">
        <f>IF(A39=" "," ",VLOOKUP(A39,'3、期末成绩'!$A$2:$B$201,2,FALSE))</f>
        <v>沈晓羽</v>
      </c>
      <c r="C39" s="425">
        <f ca="1" t="shared" si="6"/>
        <v>97</v>
      </c>
      <c r="D39" s="425">
        <f ca="1" t="shared" si="7"/>
        <v>89</v>
      </c>
      <c r="E39" s="426"/>
      <c r="F39" s="427"/>
      <c r="G39" s="427"/>
      <c r="H39" s="424">
        <f ca="1">IF(A39=" "," ",SUMPRODUCT($C39:$G39,'1、课程目标与考核方式'!$C$13:$G$13)/100)</f>
        <v>25.23</v>
      </c>
      <c r="I39" s="424">
        <f ca="1">IF(A39=" "," ",ROUND(H39/SUM('1、课程目标与考核方式'!$C$13:$G$13)*'1、课程目标与考核方式'!$I$13,0))</f>
        <v>72</v>
      </c>
      <c r="J39" s="420">
        <f>IF(ISBLANK('3、期末成绩'!CO39)," ",'3、期末成绩'!CO39)</f>
        <v>95</v>
      </c>
      <c r="K39" s="420">
        <f ca="1">IF(ISBLANK('3、期末成绩'!CP39)," ",'3、期末成绩'!CP39)</f>
        <v>73</v>
      </c>
      <c r="L39" s="420">
        <f>IF(ISBLANK('3、期末成绩'!CE39)," ",'3、期末成绩'!CE39)</f>
        <v>37</v>
      </c>
      <c r="M39" s="420">
        <f>IF(ISBLANK('3、期末成绩'!CF39)," ",'3、期末成绩'!CF39)</f>
        <v>37</v>
      </c>
      <c r="N39" s="420">
        <f>IF(ISBLANK('3、期末成绩'!CG39)," ",'3、期末成绩'!CG39)</f>
        <v>37</v>
      </c>
      <c r="O39" s="420">
        <f>IF(ISBLANK('3、期末成绩'!CH39)," ",'3、期末成绩'!CH39)</f>
        <v>37</v>
      </c>
      <c r="P39" s="420">
        <f>IF(ISBLANK('3、期末成绩'!CI39)," ",'3、期末成绩'!CI39)</f>
        <v>37</v>
      </c>
      <c r="Q39" s="420">
        <f>IF(ISBLANK('3、期末成绩'!CJ39)," ",'3、期末成绩'!CJ39)</f>
        <v>37</v>
      </c>
      <c r="R39" s="420">
        <f>IF(ISBLANK('3、期末成绩'!CK39)," ",'3、期末成绩'!CK39)</f>
        <v>37</v>
      </c>
      <c r="S39" s="420">
        <f>IF(ISBLANK('3、期末成绩'!CL39)," ",'3、期末成绩'!CL39)</f>
        <v>37</v>
      </c>
      <c r="T39" s="420">
        <f>IF(ISBLANK('3、期末成绩'!CM39)," ",'3、期末成绩'!CM39)</f>
        <v>37</v>
      </c>
      <c r="U39" s="420">
        <f>IF(ISBLANK('3、期末成绩'!CN39)," ",'3、期末成绩'!CN39)</f>
        <v>37</v>
      </c>
      <c r="V39" s="420">
        <v>0</v>
      </c>
    </row>
    <row r="40" spans="1:22">
      <c r="A40" s="243" t="str">
        <f>IF(ISBLANK('3、期末成绩'!A40)," ",'3、期末成绩'!A40)</f>
        <v>1653204</v>
      </c>
      <c r="B40" s="244" t="str">
        <f>IF(A40=" "," ",VLOOKUP(A40,'3、期末成绩'!$A$2:$B$201,2,FALSE))</f>
        <v>宋睿昕</v>
      </c>
      <c r="C40" s="425">
        <f ca="1" t="shared" si="6"/>
        <v>75</v>
      </c>
      <c r="D40" s="425">
        <f ca="1" t="shared" si="7"/>
        <v>85</v>
      </c>
      <c r="E40" s="426"/>
      <c r="F40" s="427"/>
      <c r="G40" s="427"/>
      <c r="H40" s="424">
        <f ca="1">IF(A40=" "," ",SUMPRODUCT($C40:$G40,'1、课程目标与考核方式'!$C$13:$G$13)/100)</f>
        <v>21.45</v>
      </c>
      <c r="I40" s="424">
        <f ca="1">IF(A40=" "," ",ROUND(H40/SUM('1、课程目标与考核方式'!$C$13:$G$13)*'1、课程目标与考核方式'!$I$13,0))</f>
        <v>61</v>
      </c>
      <c r="J40" s="420">
        <f>IF(ISBLANK('3、期末成绩'!CO40)," ",'3、期末成绩'!CO40)</f>
        <v>95</v>
      </c>
      <c r="K40" s="420">
        <f ca="1">IF(ISBLANK('3、期末成绩'!CP40)," ",'3、期末成绩'!CP40)</f>
        <v>69</v>
      </c>
      <c r="L40" s="420">
        <f>IF(ISBLANK('3、期末成绩'!CE40)," ",'3、期末成绩'!CE40)</f>
        <v>38</v>
      </c>
      <c r="M40" s="420">
        <f>IF(ISBLANK('3、期末成绩'!CF40)," ",'3、期末成绩'!CF40)</f>
        <v>38</v>
      </c>
      <c r="N40" s="420">
        <f>IF(ISBLANK('3、期末成绩'!CG40)," ",'3、期末成绩'!CG40)</f>
        <v>38</v>
      </c>
      <c r="O40" s="420">
        <f>IF(ISBLANK('3、期末成绩'!CH40)," ",'3、期末成绩'!CH40)</f>
        <v>38</v>
      </c>
      <c r="P40" s="420">
        <f>IF(ISBLANK('3、期末成绩'!CI40)," ",'3、期末成绩'!CI40)</f>
        <v>38</v>
      </c>
      <c r="Q40" s="420">
        <f>IF(ISBLANK('3、期末成绩'!CJ40)," ",'3、期末成绩'!CJ40)</f>
        <v>38</v>
      </c>
      <c r="R40" s="420">
        <f>IF(ISBLANK('3、期末成绩'!CK40)," ",'3、期末成绩'!CK40)</f>
        <v>38</v>
      </c>
      <c r="S40" s="420">
        <f>IF(ISBLANK('3、期末成绩'!CL40)," ",'3、期末成绩'!CL40)</f>
        <v>38</v>
      </c>
      <c r="T40" s="420">
        <f>IF(ISBLANK('3、期末成绩'!CM40)," ",'3、期末成绩'!CM40)</f>
        <v>38</v>
      </c>
      <c r="U40" s="420">
        <f>IF(ISBLANK('3、期末成绩'!CN40)," ",'3、期末成绩'!CN40)</f>
        <v>38</v>
      </c>
      <c r="V40" s="420">
        <v>0</v>
      </c>
    </row>
    <row r="41" spans="1:22">
      <c r="A41" s="243" t="str">
        <f>IF(ISBLANK('3、期末成绩'!A41)," ",'3、期末成绩'!A41)</f>
        <v>1653205</v>
      </c>
      <c r="B41" s="244" t="str">
        <f>IF(A41=" "," ",VLOOKUP(A41,'3、期末成绩'!$A$2:$B$201,2,FALSE))</f>
        <v>陈毓雯</v>
      </c>
      <c r="C41" s="425">
        <f ca="1" t="shared" si="6"/>
        <v>82</v>
      </c>
      <c r="D41" s="425">
        <f ca="1" t="shared" si="7"/>
        <v>89</v>
      </c>
      <c r="E41" s="426"/>
      <c r="F41" s="427"/>
      <c r="G41" s="427"/>
      <c r="H41" s="424">
        <f ca="1">IF(A41=" "," ",SUMPRODUCT($C41:$G41,'1、课程目标与考核方式'!$C$13:$G$13)/100)</f>
        <v>22.98</v>
      </c>
      <c r="I41" s="424">
        <f ca="1">IF(A41=" "," ",ROUND(H41/SUM('1、课程目标与考核方式'!$C$13:$G$13)*'1、课程目标与考核方式'!$I$13,0))</f>
        <v>66</v>
      </c>
      <c r="J41" s="420">
        <f>IF(ISBLANK('3、期末成绩'!CO41)," ",'3、期末成绩'!CO41)</f>
        <v>95</v>
      </c>
      <c r="K41" s="420">
        <f ca="1">IF(ISBLANK('3、期末成绩'!CP41)," ",'3、期末成绩'!CP41)</f>
        <v>70</v>
      </c>
      <c r="L41" s="420">
        <f>IF(ISBLANK('3、期末成绩'!CE41)," ",'3、期末成绩'!CE41)</f>
        <v>39</v>
      </c>
      <c r="M41" s="420">
        <f>IF(ISBLANK('3、期末成绩'!CF41)," ",'3、期末成绩'!CF41)</f>
        <v>39</v>
      </c>
      <c r="N41" s="420">
        <f>IF(ISBLANK('3、期末成绩'!CG41)," ",'3、期末成绩'!CG41)</f>
        <v>39</v>
      </c>
      <c r="O41" s="420">
        <f>IF(ISBLANK('3、期末成绩'!CH41)," ",'3、期末成绩'!CH41)</f>
        <v>39</v>
      </c>
      <c r="P41" s="420">
        <f>IF(ISBLANK('3、期末成绩'!CI41)," ",'3、期末成绩'!CI41)</f>
        <v>39</v>
      </c>
      <c r="Q41" s="420">
        <f>IF(ISBLANK('3、期末成绩'!CJ41)," ",'3、期末成绩'!CJ41)</f>
        <v>39</v>
      </c>
      <c r="R41" s="420">
        <f>IF(ISBLANK('3、期末成绩'!CK41)," ",'3、期末成绩'!CK41)</f>
        <v>39</v>
      </c>
      <c r="S41" s="420">
        <f>IF(ISBLANK('3、期末成绩'!CL41)," ",'3、期末成绩'!CL41)</f>
        <v>39</v>
      </c>
      <c r="T41" s="420">
        <f>IF(ISBLANK('3、期末成绩'!CM41)," ",'3、期末成绩'!CM41)</f>
        <v>39</v>
      </c>
      <c r="U41" s="420">
        <f>IF(ISBLANK('3、期末成绩'!CN41)," ",'3、期末成绩'!CN41)</f>
        <v>39</v>
      </c>
      <c r="V41" s="420">
        <v>18</v>
      </c>
    </row>
    <row r="42" spans="1:22">
      <c r="A42" s="243" t="str">
        <f>IF(ISBLANK('3、期末成绩'!A42)," ",'3、期末成绩'!A42)</f>
        <v>1653206</v>
      </c>
      <c r="B42" s="244" t="str">
        <f>IF(A42=" "," ",VLOOKUP(A42,'3、期末成绩'!$A$2:$B$201,2,FALSE))</f>
        <v>陈莹</v>
      </c>
      <c r="C42" s="425">
        <f ca="1" t="shared" si="6"/>
        <v>83</v>
      </c>
      <c r="D42" s="425">
        <f ca="1" t="shared" si="7"/>
        <v>92</v>
      </c>
      <c r="E42" s="426"/>
      <c r="F42" s="427"/>
      <c r="G42" s="427"/>
      <c r="H42" s="424">
        <f ca="1">IF(A42=" "," ",SUMPRODUCT($C42:$G42,'1、课程目标与考核方式'!$C$13:$G$13)/100)</f>
        <v>23.49</v>
      </c>
      <c r="I42" s="424">
        <f ca="1">IF(A42=" "," ",ROUND(H42/SUM('1、课程目标与考核方式'!$C$13:$G$13)*'1、课程目标与考核方式'!$I$13,0))</f>
        <v>67</v>
      </c>
      <c r="J42" s="420">
        <f>IF(ISBLANK('3、期末成绩'!CO42)," ",'3、期末成绩'!CO42)</f>
        <v>95</v>
      </c>
      <c r="K42" s="420">
        <f ca="1">IF(ISBLANK('3、期末成绩'!CP42)," ",'3、期末成绩'!CP42)</f>
        <v>71</v>
      </c>
      <c r="L42" s="420">
        <f>IF(ISBLANK('3、期末成绩'!CE42)," ",'3、期末成绩'!CE42)</f>
        <v>40</v>
      </c>
      <c r="M42" s="420">
        <f>IF(ISBLANK('3、期末成绩'!CF42)," ",'3、期末成绩'!CF42)</f>
        <v>40</v>
      </c>
      <c r="N42" s="420">
        <f>IF(ISBLANK('3、期末成绩'!CG42)," ",'3、期末成绩'!CG42)</f>
        <v>40</v>
      </c>
      <c r="O42" s="420">
        <f>IF(ISBLANK('3、期末成绩'!CH42)," ",'3、期末成绩'!CH42)</f>
        <v>40</v>
      </c>
      <c r="P42" s="420">
        <f>IF(ISBLANK('3、期末成绩'!CI42)," ",'3、期末成绩'!CI42)</f>
        <v>40</v>
      </c>
      <c r="Q42" s="420">
        <f>IF(ISBLANK('3、期末成绩'!CJ42)," ",'3、期末成绩'!CJ42)</f>
        <v>40</v>
      </c>
      <c r="R42" s="420">
        <f>IF(ISBLANK('3、期末成绩'!CK42)," ",'3、期末成绩'!CK42)</f>
        <v>40</v>
      </c>
      <c r="S42" s="420">
        <f>IF(ISBLANK('3、期末成绩'!CL42)," ",'3、期末成绩'!CL42)</f>
        <v>40</v>
      </c>
      <c r="T42" s="420">
        <f>IF(ISBLANK('3、期末成绩'!CM42)," ",'3、期末成绩'!CM42)</f>
        <v>40</v>
      </c>
      <c r="U42" s="420">
        <f>IF(ISBLANK('3、期末成绩'!CN42)," ",'3、期末成绩'!CN42)</f>
        <v>40</v>
      </c>
      <c r="V42" s="420">
        <v>18</v>
      </c>
    </row>
    <row r="43" spans="1:22">
      <c r="A43" s="243" t="str">
        <f>IF(ISBLANK('3、期末成绩'!A43)," ",'3、期末成绩'!A43)</f>
        <v>1653207</v>
      </c>
      <c r="B43" s="244" t="str">
        <f>IF(A43=" "," ",VLOOKUP(A43,'3、期末成绩'!$A$2:$B$201,2,FALSE))</f>
        <v>时峥</v>
      </c>
      <c r="C43" s="425">
        <f ca="1" t="shared" ref="C43:C52" si="8">60+RANDBETWEEN(0,40)</f>
        <v>91</v>
      </c>
      <c r="D43" s="425">
        <f ca="1" t="shared" ref="D43:D52" si="9">60+RANDBETWEEN(0,40)</f>
        <v>85</v>
      </c>
      <c r="E43" s="426"/>
      <c r="F43" s="427"/>
      <c r="G43" s="427"/>
      <c r="H43" s="424">
        <f ca="1">IF(A43=" "," ",SUMPRODUCT($C43:$G43,'1、课程目标与考核方式'!$C$13:$G$13)/100)</f>
        <v>23.85</v>
      </c>
      <c r="I43" s="424">
        <f ca="1">IF(A43=" "," ",ROUND(H43/SUM('1、课程目标与考核方式'!$C$13:$G$13)*'1、课程目标与考核方式'!$I$13,0))</f>
        <v>68</v>
      </c>
      <c r="J43" s="420">
        <f>IF(ISBLANK('3、期末成绩'!CO43)," ",'3、期末成绩'!CO43)</f>
        <v>95</v>
      </c>
      <c r="K43" s="420">
        <f ca="1">IF(ISBLANK('3、期末成绩'!CP43)," ",'3、期末成绩'!CP43)</f>
        <v>71</v>
      </c>
      <c r="L43" s="420">
        <f>IF(ISBLANK('3、期末成绩'!CE43)," ",'3、期末成绩'!CE43)</f>
        <v>41</v>
      </c>
      <c r="M43" s="420">
        <f>IF(ISBLANK('3、期末成绩'!CF43)," ",'3、期末成绩'!CF43)</f>
        <v>41</v>
      </c>
      <c r="N43" s="420">
        <f>IF(ISBLANK('3、期末成绩'!CG43)," ",'3、期末成绩'!CG43)</f>
        <v>41</v>
      </c>
      <c r="O43" s="420">
        <f>IF(ISBLANK('3、期末成绩'!CH43)," ",'3、期末成绩'!CH43)</f>
        <v>41</v>
      </c>
      <c r="P43" s="420">
        <f>IF(ISBLANK('3、期末成绩'!CI43)," ",'3、期末成绩'!CI43)</f>
        <v>41</v>
      </c>
      <c r="Q43" s="420">
        <f>IF(ISBLANK('3、期末成绩'!CJ43)," ",'3、期末成绩'!CJ43)</f>
        <v>41</v>
      </c>
      <c r="R43" s="420">
        <f>IF(ISBLANK('3、期末成绩'!CK43)," ",'3、期末成绩'!CK43)</f>
        <v>41</v>
      </c>
      <c r="S43" s="420">
        <f>IF(ISBLANK('3、期末成绩'!CL43)," ",'3、期末成绩'!CL43)</f>
        <v>41</v>
      </c>
      <c r="T43" s="420">
        <f>IF(ISBLANK('3、期末成绩'!CM43)," ",'3、期末成绩'!CM43)</f>
        <v>41</v>
      </c>
      <c r="U43" s="420">
        <f>IF(ISBLANK('3、期末成绩'!CN43)," ",'3、期末成绩'!CN43)</f>
        <v>41</v>
      </c>
      <c r="V43" s="420">
        <v>26</v>
      </c>
    </row>
    <row r="44" spans="1:22">
      <c r="A44" s="243" t="str">
        <f>IF(ISBLANK('3、期末成绩'!A44)," ",'3、期末成绩'!A44)</f>
        <v>1653208</v>
      </c>
      <c r="B44" s="244" t="str">
        <f>IF(A44=" "," ",VLOOKUP(A44,'3、期末成绩'!$A$2:$B$201,2,FALSE))</f>
        <v>谢沚娟</v>
      </c>
      <c r="C44" s="425">
        <f ca="1" t="shared" si="8"/>
        <v>66</v>
      </c>
      <c r="D44" s="425">
        <f ca="1" t="shared" si="9"/>
        <v>65</v>
      </c>
      <c r="E44" s="426"/>
      <c r="F44" s="427"/>
      <c r="G44" s="427"/>
      <c r="H44" s="424">
        <f ca="1">IF(A44=" "," ",SUMPRODUCT($C44:$G44,'1、课程目标与考核方式'!$C$13:$G$13)/100)</f>
        <v>17.7</v>
      </c>
      <c r="I44" s="424">
        <f ca="1">IF(A44=" "," ",ROUND(H44/SUM('1、课程目标与考核方式'!$C$13:$G$13)*'1、课程目标与考核方式'!$I$13,0))</f>
        <v>50</v>
      </c>
      <c r="J44" s="420">
        <f>IF(ISBLANK('3、期末成绩'!CO44)," ",'3、期末成绩'!CO44)</f>
        <v>95</v>
      </c>
      <c r="K44" s="420">
        <f ca="1">IF(ISBLANK('3、期末成绩'!CP44)," ",'3、期末成绩'!CP44)</f>
        <v>65</v>
      </c>
      <c r="L44" s="420">
        <f>IF(ISBLANK('3、期末成绩'!CE44)," ",'3、期末成绩'!CE44)</f>
        <v>42</v>
      </c>
      <c r="M44" s="420">
        <f>IF(ISBLANK('3、期末成绩'!CF44)," ",'3、期末成绩'!CF44)</f>
        <v>42</v>
      </c>
      <c r="N44" s="420">
        <f>IF(ISBLANK('3、期末成绩'!CG44)," ",'3、期末成绩'!CG44)</f>
        <v>42</v>
      </c>
      <c r="O44" s="420">
        <f>IF(ISBLANK('3、期末成绩'!CH44)," ",'3、期末成绩'!CH44)</f>
        <v>42</v>
      </c>
      <c r="P44" s="420">
        <f>IF(ISBLANK('3、期末成绩'!CI44)," ",'3、期末成绩'!CI44)</f>
        <v>42</v>
      </c>
      <c r="Q44" s="420">
        <f>IF(ISBLANK('3、期末成绩'!CJ44)," ",'3、期末成绩'!CJ44)</f>
        <v>42</v>
      </c>
      <c r="R44" s="420">
        <f>IF(ISBLANK('3、期末成绩'!CK44)," ",'3、期末成绩'!CK44)</f>
        <v>42</v>
      </c>
      <c r="S44" s="420">
        <f>IF(ISBLANK('3、期末成绩'!CL44)," ",'3、期末成绩'!CL44)</f>
        <v>42</v>
      </c>
      <c r="T44" s="420">
        <f>IF(ISBLANK('3、期末成绩'!CM44)," ",'3、期末成绩'!CM44)</f>
        <v>42</v>
      </c>
      <c r="U44" s="420">
        <f>IF(ISBLANK('3、期末成绩'!CN44)," ",'3、期末成绩'!CN44)</f>
        <v>42</v>
      </c>
      <c r="V44" s="420">
        <v>23</v>
      </c>
    </row>
    <row r="45" spans="1:22">
      <c r="A45" s="243" t="str">
        <f>IF(ISBLANK('3、期末成绩'!A45)," ",'3、期末成绩'!A45)</f>
        <v>1653209</v>
      </c>
      <c r="B45" s="244" t="str">
        <f>IF(A45=" "," ",VLOOKUP(A45,'3、期末成绩'!$A$2:$B$201,2,FALSE))</f>
        <v>韦秋彤</v>
      </c>
      <c r="C45" s="425">
        <f ca="1" t="shared" si="8"/>
        <v>87</v>
      </c>
      <c r="D45" s="425">
        <f ca="1" t="shared" si="9"/>
        <v>63</v>
      </c>
      <c r="E45" s="426"/>
      <c r="F45" s="427"/>
      <c r="G45" s="427"/>
      <c r="H45" s="424">
        <f ca="1">IF(A45=" "," ",SUMPRODUCT($C45:$G45,'1、课程目标与考核方式'!$C$13:$G$13)/100)</f>
        <v>20.61</v>
      </c>
      <c r="I45" s="424">
        <f ca="1">IF(A45=" "," ",ROUND(H45/SUM('1、课程目标与考核方式'!$C$13:$G$13)*'1、课程目标与考核方式'!$I$13,0))</f>
        <v>59</v>
      </c>
      <c r="J45" s="420">
        <f>IF(ISBLANK('3、期末成绩'!CO45)," ",'3、期末成绩'!CO45)</f>
        <v>95</v>
      </c>
      <c r="K45" s="420">
        <f ca="1">IF(ISBLANK('3、期末成绩'!CP45)," ",'3、期末成绩'!CP45)</f>
        <v>68</v>
      </c>
      <c r="L45" s="420">
        <f>IF(ISBLANK('3、期末成绩'!CE45)," ",'3、期末成绩'!CE45)</f>
        <v>43</v>
      </c>
      <c r="M45" s="420">
        <f>IF(ISBLANK('3、期末成绩'!CF45)," ",'3、期末成绩'!CF45)</f>
        <v>43</v>
      </c>
      <c r="N45" s="420">
        <f>IF(ISBLANK('3、期末成绩'!CG45)," ",'3、期末成绩'!CG45)</f>
        <v>43</v>
      </c>
      <c r="O45" s="420">
        <f>IF(ISBLANK('3、期末成绩'!CH45)," ",'3、期末成绩'!CH45)</f>
        <v>43</v>
      </c>
      <c r="P45" s="420">
        <f>IF(ISBLANK('3、期末成绩'!CI45)," ",'3、期末成绩'!CI45)</f>
        <v>43</v>
      </c>
      <c r="Q45" s="420">
        <f>IF(ISBLANK('3、期末成绩'!CJ45)," ",'3、期末成绩'!CJ45)</f>
        <v>43</v>
      </c>
      <c r="R45" s="420">
        <f>IF(ISBLANK('3、期末成绩'!CK45)," ",'3、期末成绩'!CK45)</f>
        <v>43</v>
      </c>
      <c r="S45" s="420">
        <f>IF(ISBLANK('3、期末成绩'!CL45)," ",'3、期末成绩'!CL45)</f>
        <v>43</v>
      </c>
      <c r="T45" s="420">
        <f>IF(ISBLANK('3、期末成绩'!CM45)," ",'3、期末成绩'!CM45)</f>
        <v>43</v>
      </c>
      <c r="U45" s="420">
        <f>IF(ISBLANK('3、期末成绩'!CN45)," ",'3、期末成绩'!CN45)</f>
        <v>43</v>
      </c>
      <c r="V45" s="420">
        <v>37</v>
      </c>
    </row>
    <row r="46" spans="1:22">
      <c r="A46" s="243" t="str">
        <f>IF(ISBLANK('3、期末成绩'!A46)," ",'3、期末成绩'!A46)</f>
        <v>1653210</v>
      </c>
      <c r="B46" s="244" t="str">
        <f>IF(A46=" "," ",VLOOKUP(A46,'3、期末成绩'!$A$2:$B$201,2,FALSE))</f>
        <v>童竹雯</v>
      </c>
      <c r="C46" s="425">
        <f ca="1" t="shared" si="8"/>
        <v>80</v>
      </c>
      <c r="D46" s="425">
        <f ca="1" t="shared" si="9"/>
        <v>69</v>
      </c>
      <c r="E46" s="426"/>
      <c r="F46" s="427"/>
      <c r="G46" s="427"/>
      <c r="H46" s="424">
        <f ca="1">IF(A46=" "," ",SUMPRODUCT($C46:$G46,'1、课程目标与考核方式'!$C$13:$G$13)/100)</f>
        <v>20.28</v>
      </c>
      <c r="I46" s="424">
        <f ca="1">IF(A46=" "," ",ROUND(H46/SUM('1、课程目标与考核方式'!$C$13:$G$13)*'1、课程目标与考核方式'!$I$13,0))</f>
        <v>58</v>
      </c>
      <c r="J46" s="420">
        <f>IF(ISBLANK('3、期末成绩'!CO46)," ",'3、期末成绩'!CO46)</f>
        <v>95</v>
      </c>
      <c r="K46" s="420">
        <f ca="1">IF(ISBLANK('3、期末成绩'!CP46)," ",'3、期末成绩'!CP46)</f>
        <v>68</v>
      </c>
      <c r="L46" s="420">
        <f>IF(ISBLANK('3、期末成绩'!CE46)," ",'3、期末成绩'!CE46)</f>
        <v>44</v>
      </c>
      <c r="M46" s="420">
        <f>IF(ISBLANK('3、期末成绩'!CF46)," ",'3、期末成绩'!CF46)</f>
        <v>44</v>
      </c>
      <c r="N46" s="420">
        <f>IF(ISBLANK('3、期末成绩'!CG46)," ",'3、期末成绩'!CG46)</f>
        <v>44</v>
      </c>
      <c r="O46" s="420">
        <f>IF(ISBLANK('3、期末成绩'!CH46)," ",'3、期末成绩'!CH46)</f>
        <v>44</v>
      </c>
      <c r="P46" s="420">
        <f>IF(ISBLANK('3、期末成绩'!CI46)," ",'3、期末成绩'!CI46)</f>
        <v>44</v>
      </c>
      <c r="Q46" s="420">
        <f>IF(ISBLANK('3、期末成绩'!CJ46)," ",'3、期末成绩'!CJ46)</f>
        <v>44</v>
      </c>
      <c r="R46" s="420">
        <f>IF(ISBLANK('3、期末成绩'!CK46)," ",'3、期末成绩'!CK46)</f>
        <v>44</v>
      </c>
      <c r="S46" s="420">
        <f>IF(ISBLANK('3、期末成绩'!CL46)," ",'3、期末成绩'!CL46)</f>
        <v>44</v>
      </c>
      <c r="T46" s="420">
        <f>IF(ISBLANK('3、期末成绩'!CM46)," ",'3、期末成绩'!CM46)</f>
        <v>44</v>
      </c>
      <c r="U46" s="420">
        <f>IF(ISBLANK('3、期末成绩'!CN46)," ",'3、期末成绩'!CN46)</f>
        <v>44</v>
      </c>
      <c r="V46" s="420">
        <v>61</v>
      </c>
    </row>
    <row r="47" spans="1:22">
      <c r="A47" s="243" t="str">
        <f>IF(ISBLANK('3、期末成绩'!A47)," ",'3、期末成绩'!A47)</f>
        <v>1653211</v>
      </c>
      <c r="B47" s="244" t="str">
        <f>IF(A47=" "," ",VLOOKUP(A47,'3、期末成绩'!$A$2:$B$201,2,FALSE))</f>
        <v>吴本维</v>
      </c>
      <c r="C47" s="425">
        <f ca="1" t="shared" si="8"/>
        <v>62</v>
      </c>
      <c r="D47" s="425">
        <f ca="1" t="shared" si="9"/>
        <v>75</v>
      </c>
      <c r="E47" s="426"/>
      <c r="F47" s="427"/>
      <c r="G47" s="427"/>
      <c r="H47" s="424">
        <f ca="1">IF(A47=" "," ",SUMPRODUCT($C47:$G47,'1、课程目标与考核方式'!$C$13:$G$13)/100)</f>
        <v>18.3</v>
      </c>
      <c r="I47" s="424">
        <f ca="1">IF(A47=" "," ",ROUND(H47/SUM('1、课程目标与考核方式'!$C$13:$G$13)*'1、课程目标与考核方式'!$I$13,0))</f>
        <v>52</v>
      </c>
      <c r="J47" s="420">
        <f>IF(ISBLANK('3、期末成绩'!CO47)," ",'3、期末成绩'!CO47)</f>
        <v>95</v>
      </c>
      <c r="K47" s="420">
        <f ca="1">IF(ISBLANK('3、期末成绩'!CP47)," ",'3、期末成绩'!CP47)</f>
        <v>66</v>
      </c>
      <c r="L47" s="420">
        <f>IF(ISBLANK('3、期末成绩'!CE47)," ",'3、期末成绩'!CE47)</f>
        <v>45</v>
      </c>
      <c r="M47" s="420">
        <f>IF(ISBLANK('3、期末成绩'!CF47)," ",'3、期末成绩'!CF47)</f>
        <v>45</v>
      </c>
      <c r="N47" s="420">
        <f>IF(ISBLANK('3、期末成绩'!CG47)," ",'3、期末成绩'!CG47)</f>
        <v>45</v>
      </c>
      <c r="O47" s="420">
        <f>IF(ISBLANK('3、期末成绩'!CH47)," ",'3、期末成绩'!CH47)</f>
        <v>45</v>
      </c>
      <c r="P47" s="420">
        <f>IF(ISBLANK('3、期末成绩'!CI47)," ",'3、期末成绩'!CI47)</f>
        <v>45</v>
      </c>
      <c r="Q47" s="420">
        <f>IF(ISBLANK('3、期末成绩'!CJ47)," ",'3、期末成绩'!CJ47)</f>
        <v>45</v>
      </c>
      <c r="R47" s="420">
        <f>IF(ISBLANK('3、期末成绩'!CK47)," ",'3、期末成绩'!CK47)</f>
        <v>45</v>
      </c>
      <c r="S47" s="420">
        <f>IF(ISBLANK('3、期末成绩'!CL47)," ",'3、期末成绩'!CL47)</f>
        <v>45</v>
      </c>
      <c r="T47" s="420">
        <f>IF(ISBLANK('3、期末成绩'!CM47)," ",'3、期末成绩'!CM47)</f>
        <v>45</v>
      </c>
      <c r="U47" s="420">
        <f>IF(ISBLANK('3、期末成绩'!CN47)," ",'3、期末成绩'!CN47)</f>
        <v>45</v>
      </c>
      <c r="V47" s="420">
        <v>22</v>
      </c>
    </row>
    <row r="48" spans="1:22">
      <c r="A48" s="243" t="str">
        <f>IF(ISBLANK('3、期末成绩'!A48)," ",'3、期末成绩'!A48)</f>
        <v>1653212</v>
      </c>
      <c r="B48" s="244" t="str">
        <f>IF(A48=" "," ",VLOOKUP(A48,'3、期末成绩'!$A$2:$B$201,2,FALSE))</f>
        <v>郭薇煊</v>
      </c>
      <c r="C48" s="425">
        <f ca="1" t="shared" si="8"/>
        <v>90</v>
      </c>
      <c r="D48" s="425">
        <f ca="1" t="shared" si="9"/>
        <v>68</v>
      </c>
      <c r="E48" s="426"/>
      <c r="F48" s="427"/>
      <c r="G48" s="427"/>
      <c r="H48" s="424">
        <f ca="1">IF(A48=" "," ",SUMPRODUCT($C48:$G48,'1、课程目标与考核方式'!$C$13:$G$13)/100)</f>
        <v>21.66</v>
      </c>
      <c r="I48" s="424">
        <f ca="1">IF(A48=" "," ",ROUND(H48/SUM('1、课程目标与考核方式'!$C$13:$G$13)*'1、课程目标与考核方式'!$I$13,0))</f>
        <v>62</v>
      </c>
      <c r="J48" s="420">
        <f>IF(ISBLANK('3、期末成绩'!CO48)," ",'3、期末成绩'!CO48)</f>
        <v>95</v>
      </c>
      <c r="K48" s="420">
        <f ca="1">IF(ISBLANK('3、期末成绩'!CP48)," ",'3、期末成绩'!CP48)</f>
        <v>69</v>
      </c>
      <c r="L48" s="420">
        <f>IF(ISBLANK('3、期末成绩'!CE48)," ",'3、期末成绩'!CE48)</f>
        <v>46</v>
      </c>
      <c r="M48" s="420">
        <f>IF(ISBLANK('3、期末成绩'!CF48)," ",'3、期末成绩'!CF48)</f>
        <v>46</v>
      </c>
      <c r="N48" s="420">
        <f>IF(ISBLANK('3、期末成绩'!CG48)," ",'3、期末成绩'!CG48)</f>
        <v>46</v>
      </c>
      <c r="O48" s="420">
        <f>IF(ISBLANK('3、期末成绩'!CH48)," ",'3、期末成绩'!CH48)</f>
        <v>46</v>
      </c>
      <c r="P48" s="420">
        <f>IF(ISBLANK('3、期末成绩'!CI48)," ",'3、期末成绩'!CI48)</f>
        <v>46</v>
      </c>
      <c r="Q48" s="420">
        <f>IF(ISBLANK('3、期末成绩'!CJ48)," ",'3、期末成绩'!CJ48)</f>
        <v>46</v>
      </c>
      <c r="R48" s="420">
        <f>IF(ISBLANK('3、期末成绩'!CK48)," ",'3、期末成绩'!CK48)</f>
        <v>46</v>
      </c>
      <c r="S48" s="420">
        <f>IF(ISBLANK('3、期末成绩'!CL48)," ",'3、期末成绩'!CL48)</f>
        <v>46</v>
      </c>
      <c r="T48" s="420">
        <f>IF(ISBLANK('3、期末成绩'!CM48)," ",'3、期末成绩'!CM48)</f>
        <v>46</v>
      </c>
      <c r="U48" s="420">
        <f>IF(ISBLANK('3、期末成绩'!CN48)," ",'3、期末成绩'!CN48)</f>
        <v>46</v>
      </c>
      <c r="V48" s="420">
        <v>37</v>
      </c>
    </row>
    <row r="49" spans="1:22">
      <c r="A49" s="243" t="str">
        <f>IF(ISBLANK('3、期末成绩'!A49)," ",'3、期末成绩'!A49)</f>
        <v>1653213</v>
      </c>
      <c r="B49" s="244" t="str">
        <f>IF(A49=" "," ",VLOOKUP(A49,'3、期末成绩'!$A$2:$B$201,2,FALSE))</f>
        <v>祝瑞昊</v>
      </c>
      <c r="C49" s="425">
        <f ca="1" t="shared" si="8"/>
        <v>63</v>
      </c>
      <c r="D49" s="425">
        <f ca="1" t="shared" si="9"/>
        <v>89</v>
      </c>
      <c r="E49" s="426"/>
      <c r="F49" s="427"/>
      <c r="G49" s="427"/>
      <c r="H49" s="424">
        <f ca="1">IF(A49=" "," ",SUMPRODUCT($C49:$G49,'1、课程目标与考核方式'!$C$13:$G$13)/100)</f>
        <v>20.13</v>
      </c>
      <c r="I49" s="424">
        <f ca="1">IF(A49=" "," ",ROUND(H49/SUM('1、课程目标与考核方式'!$C$13:$G$13)*'1、课程目标与考核方式'!$I$13,0))</f>
        <v>57</v>
      </c>
      <c r="J49" s="420">
        <f>IF(ISBLANK('3、期末成绩'!CO49)," ",'3、期末成绩'!CO49)</f>
        <v>95</v>
      </c>
      <c r="K49" s="420">
        <f ca="1">IF(ISBLANK('3、期末成绩'!CP49)," ",'3、期末成绩'!CP49)</f>
        <v>68</v>
      </c>
      <c r="L49" s="420">
        <f>IF(ISBLANK('3、期末成绩'!CE49)," ",'3、期末成绩'!CE49)</f>
        <v>47</v>
      </c>
      <c r="M49" s="420">
        <f>IF(ISBLANK('3、期末成绩'!CF49)," ",'3、期末成绩'!CF49)</f>
        <v>47</v>
      </c>
      <c r="N49" s="420">
        <f>IF(ISBLANK('3、期末成绩'!CG49)," ",'3、期末成绩'!CG49)</f>
        <v>47</v>
      </c>
      <c r="O49" s="420">
        <f>IF(ISBLANK('3、期末成绩'!CH49)," ",'3、期末成绩'!CH49)</f>
        <v>47</v>
      </c>
      <c r="P49" s="420">
        <f>IF(ISBLANK('3、期末成绩'!CI49)," ",'3、期末成绩'!CI49)</f>
        <v>47</v>
      </c>
      <c r="Q49" s="420">
        <f>IF(ISBLANK('3、期末成绩'!CJ49)," ",'3、期末成绩'!CJ49)</f>
        <v>47</v>
      </c>
      <c r="R49" s="420">
        <f>IF(ISBLANK('3、期末成绩'!CK49)," ",'3、期末成绩'!CK49)</f>
        <v>47</v>
      </c>
      <c r="S49" s="420">
        <f>IF(ISBLANK('3、期末成绩'!CL49)," ",'3、期末成绩'!CL49)</f>
        <v>47</v>
      </c>
      <c r="T49" s="420">
        <f>IF(ISBLANK('3、期末成绩'!CM49)," ",'3、期末成绩'!CM49)</f>
        <v>47</v>
      </c>
      <c r="U49" s="420">
        <f>IF(ISBLANK('3、期末成绩'!CN49)," ",'3、期末成绩'!CN49)</f>
        <v>47</v>
      </c>
      <c r="V49" s="420">
        <v>37</v>
      </c>
    </row>
    <row r="50" spans="1:22">
      <c r="A50" s="243" t="str">
        <f>IF(ISBLANK('3、期末成绩'!A50)," ",'3、期末成绩'!A50)</f>
        <v>1653214</v>
      </c>
      <c r="B50" s="244" t="str">
        <f>IF(A50=" "," ",VLOOKUP(A50,'3、期末成绩'!$A$2:$B$201,2,FALSE))</f>
        <v>冯昊樑</v>
      </c>
      <c r="C50" s="425">
        <f ca="1" t="shared" si="8"/>
        <v>97</v>
      </c>
      <c r="D50" s="425">
        <f ca="1" t="shared" si="9"/>
        <v>80</v>
      </c>
      <c r="E50" s="426"/>
      <c r="F50" s="427"/>
      <c r="G50" s="427"/>
      <c r="H50" s="424">
        <f ca="1">IF(A50=" "," ",SUMPRODUCT($C50:$G50,'1、课程目标与考核方式'!$C$13:$G$13)/100)</f>
        <v>24.15</v>
      </c>
      <c r="I50" s="424">
        <f ca="1">IF(A50=" "," ",ROUND(H50/SUM('1、课程目标与考核方式'!$C$13:$G$13)*'1、课程目标与考核方式'!$I$13,0))</f>
        <v>69</v>
      </c>
      <c r="J50" s="420">
        <f>IF(ISBLANK('3、期末成绩'!CO50)," ",'3、期末成绩'!CO50)</f>
        <v>95</v>
      </c>
      <c r="K50" s="420">
        <f ca="1">IF(ISBLANK('3、期末成绩'!CP50)," ",'3、期末成绩'!CP50)</f>
        <v>72</v>
      </c>
      <c r="L50" s="420">
        <f>IF(ISBLANK('3、期末成绩'!CE50)," ",'3、期末成绩'!CE50)</f>
        <v>48</v>
      </c>
      <c r="M50" s="420">
        <f>IF(ISBLANK('3、期末成绩'!CF50)," ",'3、期末成绩'!CF50)</f>
        <v>48</v>
      </c>
      <c r="N50" s="420">
        <f>IF(ISBLANK('3、期末成绩'!CG50)," ",'3、期末成绩'!CG50)</f>
        <v>48</v>
      </c>
      <c r="O50" s="420">
        <f>IF(ISBLANK('3、期末成绩'!CH50)," ",'3、期末成绩'!CH50)</f>
        <v>48</v>
      </c>
      <c r="P50" s="420">
        <f>IF(ISBLANK('3、期末成绩'!CI50)," ",'3、期末成绩'!CI50)</f>
        <v>48</v>
      </c>
      <c r="Q50" s="420">
        <f>IF(ISBLANK('3、期末成绩'!CJ50)," ",'3、期末成绩'!CJ50)</f>
        <v>48</v>
      </c>
      <c r="R50" s="420">
        <f>IF(ISBLANK('3、期末成绩'!CK50)," ",'3、期末成绩'!CK50)</f>
        <v>48</v>
      </c>
      <c r="S50" s="420">
        <f>IF(ISBLANK('3、期末成绩'!CL50)," ",'3、期末成绩'!CL50)</f>
        <v>48</v>
      </c>
      <c r="T50" s="420">
        <f>IF(ISBLANK('3、期末成绩'!CM50)," ",'3、期末成绩'!CM50)</f>
        <v>48</v>
      </c>
      <c r="U50" s="420">
        <f>IF(ISBLANK('3、期末成绩'!CN50)," ",'3、期末成绩'!CN50)</f>
        <v>48</v>
      </c>
      <c r="V50" s="420">
        <v>26</v>
      </c>
    </row>
    <row r="51" spans="1:22">
      <c r="A51" s="243" t="str">
        <f>IF(ISBLANK('3、期末成绩'!A51)," ",'3、期末成绩'!A51)</f>
        <v>1653215</v>
      </c>
      <c r="B51" s="244" t="str">
        <f>IF(A51=" "," ",VLOOKUP(A51,'3、期末成绩'!$A$2:$B$201,2,FALSE))</f>
        <v>陈伟刚</v>
      </c>
      <c r="C51" s="425">
        <f ca="1" t="shared" si="8"/>
        <v>91</v>
      </c>
      <c r="D51" s="425">
        <f ca="1" t="shared" si="9"/>
        <v>97</v>
      </c>
      <c r="E51" s="426"/>
      <c r="F51" s="427"/>
      <c r="G51" s="427"/>
      <c r="H51" s="424">
        <f ca="1">IF(A51=" "," ",SUMPRODUCT($C51:$G51,'1、课程目标与考核方式'!$C$13:$G$13)/100)</f>
        <v>25.29</v>
      </c>
      <c r="I51" s="424">
        <f ca="1">IF(A51=" "," ",ROUND(H51/SUM('1、课程目标与考核方式'!$C$13:$G$13)*'1、课程目标与考核方式'!$I$13,0))</f>
        <v>72</v>
      </c>
      <c r="J51" s="420">
        <f>IF(ISBLANK('3、期末成绩'!CO51)," ",'3、期末成绩'!CO51)</f>
        <v>95</v>
      </c>
      <c r="K51" s="420">
        <f ca="1">IF(ISBLANK('3、期末成绩'!CP51)," ",'3、期末成绩'!CP51)</f>
        <v>73</v>
      </c>
      <c r="L51" s="420">
        <f>IF(ISBLANK('3、期末成绩'!CE51)," ",'3、期末成绩'!CE51)</f>
        <v>49</v>
      </c>
      <c r="M51" s="420">
        <f>IF(ISBLANK('3、期末成绩'!CF51)," ",'3、期末成绩'!CF51)</f>
        <v>49</v>
      </c>
      <c r="N51" s="420">
        <f>IF(ISBLANK('3、期末成绩'!CG51)," ",'3、期末成绩'!CG51)</f>
        <v>49</v>
      </c>
      <c r="O51" s="420">
        <f>IF(ISBLANK('3、期末成绩'!CH51)," ",'3、期末成绩'!CH51)</f>
        <v>49</v>
      </c>
      <c r="P51" s="420">
        <f>IF(ISBLANK('3、期末成绩'!CI51)," ",'3、期末成绩'!CI51)</f>
        <v>49</v>
      </c>
      <c r="Q51" s="420">
        <f>IF(ISBLANK('3、期末成绩'!CJ51)," ",'3、期末成绩'!CJ51)</f>
        <v>49</v>
      </c>
      <c r="R51" s="420">
        <f>IF(ISBLANK('3、期末成绩'!CK51)," ",'3、期末成绩'!CK51)</f>
        <v>49</v>
      </c>
      <c r="S51" s="420">
        <f>IF(ISBLANK('3、期末成绩'!CL51)," ",'3、期末成绩'!CL51)</f>
        <v>49</v>
      </c>
      <c r="T51" s="420">
        <f>IF(ISBLANK('3、期末成绩'!CM51)," ",'3、期末成绩'!CM51)</f>
        <v>49</v>
      </c>
      <c r="U51" s="420">
        <f>IF(ISBLANK('3、期末成绩'!CN51)," ",'3、期末成绩'!CN51)</f>
        <v>49</v>
      </c>
      <c r="V51" s="420">
        <v>50</v>
      </c>
    </row>
    <row r="52" spans="1:22">
      <c r="A52" s="243" t="str">
        <f>IF(ISBLANK('3、期末成绩'!A52)," ",'3、期末成绩'!A52)</f>
        <v>1653216</v>
      </c>
      <c r="B52" s="244" t="str">
        <f>IF(A52=" "," ",VLOOKUP(A52,'3、期末成绩'!$A$2:$B$201,2,FALSE))</f>
        <v>郭金宇</v>
      </c>
      <c r="C52" s="425">
        <f ca="1" t="shared" si="8"/>
        <v>92</v>
      </c>
      <c r="D52" s="425">
        <f ca="1" t="shared" si="9"/>
        <v>95</v>
      </c>
      <c r="E52" s="426"/>
      <c r="F52" s="427"/>
      <c r="G52" s="427"/>
      <c r="H52" s="424">
        <f ca="1">IF(A52=" "," ",SUMPRODUCT($C52:$G52,'1、课程目标与考核方式'!$C$13:$G$13)/100)</f>
        <v>25.2</v>
      </c>
      <c r="I52" s="424">
        <f ca="1">IF(A52=" "," ",ROUND(H52/SUM('1、课程目标与考核方式'!$C$13:$G$13)*'1、课程目标与考核方式'!$I$13,0))</f>
        <v>72</v>
      </c>
      <c r="J52" s="420">
        <f>IF(ISBLANK('3、期末成绩'!CO52)," ",'3、期末成绩'!CO52)</f>
        <v>95</v>
      </c>
      <c r="K52" s="420">
        <f ca="1">IF(ISBLANK('3、期末成绩'!CP52)," ",'3、期末成绩'!CP52)</f>
        <v>73</v>
      </c>
      <c r="L52" s="420">
        <f>IF(ISBLANK('3、期末成绩'!CE52)," ",'3、期末成绩'!CE52)</f>
        <v>50</v>
      </c>
      <c r="M52" s="420">
        <f>IF(ISBLANK('3、期末成绩'!CF52)," ",'3、期末成绩'!CF52)</f>
        <v>50</v>
      </c>
      <c r="N52" s="420">
        <f>IF(ISBLANK('3、期末成绩'!CG52)," ",'3、期末成绩'!CG52)</f>
        <v>50</v>
      </c>
      <c r="O52" s="420">
        <f>IF(ISBLANK('3、期末成绩'!CH52)," ",'3、期末成绩'!CH52)</f>
        <v>50</v>
      </c>
      <c r="P52" s="420">
        <f>IF(ISBLANK('3、期末成绩'!CI52)," ",'3、期末成绩'!CI52)</f>
        <v>50</v>
      </c>
      <c r="Q52" s="420">
        <f>IF(ISBLANK('3、期末成绩'!CJ52)," ",'3、期末成绩'!CJ52)</f>
        <v>50</v>
      </c>
      <c r="R52" s="420">
        <f>IF(ISBLANK('3、期末成绩'!CK52)," ",'3、期末成绩'!CK52)</f>
        <v>50</v>
      </c>
      <c r="S52" s="420">
        <f>IF(ISBLANK('3、期末成绩'!CL52)," ",'3、期末成绩'!CL52)</f>
        <v>50</v>
      </c>
      <c r="T52" s="420">
        <f>IF(ISBLANK('3、期末成绩'!CM52)," ",'3、期末成绩'!CM52)</f>
        <v>50</v>
      </c>
      <c r="U52" s="420">
        <f>IF(ISBLANK('3、期末成绩'!CN52)," ",'3、期末成绩'!CN52)</f>
        <v>50</v>
      </c>
      <c r="V52" s="420">
        <v>46</v>
      </c>
    </row>
    <row r="53" spans="1:22">
      <c r="A53" s="243" t="str">
        <f>IF(ISBLANK('3、期末成绩'!A53)," ",'3、期末成绩'!A53)</f>
        <v>1653217</v>
      </c>
      <c r="B53" s="244" t="str">
        <f>IF(A53=" "," ",VLOOKUP(A53,'3、期末成绩'!$A$2:$B$201,2,FALSE))</f>
        <v>高川</v>
      </c>
      <c r="C53" s="425">
        <f ca="1" t="shared" ref="C53:C62" si="10">60+RANDBETWEEN(0,40)</f>
        <v>87</v>
      </c>
      <c r="D53" s="425">
        <f ca="1" t="shared" ref="D53:D62" si="11">60+RANDBETWEEN(0,40)</f>
        <v>62</v>
      </c>
      <c r="E53" s="426"/>
      <c r="F53" s="427"/>
      <c r="G53" s="427"/>
      <c r="H53" s="424">
        <f ca="1">IF(A53=" "," ",SUMPRODUCT($C53:$G53,'1、课程目标与考核方式'!$C$13:$G$13)/100)</f>
        <v>20.49</v>
      </c>
      <c r="I53" s="424">
        <f ca="1">IF(A53=" "," ",ROUND(H53/SUM('1、课程目标与考核方式'!$C$13:$G$13)*'1、课程目标与考核方式'!$I$13,0))</f>
        <v>58</v>
      </c>
      <c r="J53" s="420">
        <f>IF(ISBLANK('3、期末成绩'!CO53)," ",'3、期末成绩'!CO53)</f>
        <v>95</v>
      </c>
      <c r="K53" s="420">
        <f ca="1">IF(ISBLANK('3、期末成绩'!CP53)," ",'3、期末成绩'!CP53)</f>
        <v>68</v>
      </c>
      <c r="L53" s="420">
        <f>IF(ISBLANK('3、期末成绩'!CE53)," ",'3、期末成绩'!CE53)</f>
        <v>51</v>
      </c>
      <c r="M53" s="420">
        <f>IF(ISBLANK('3、期末成绩'!CF53)," ",'3、期末成绩'!CF53)</f>
        <v>51</v>
      </c>
      <c r="N53" s="420">
        <f>IF(ISBLANK('3、期末成绩'!CG53)," ",'3、期末成绩'!CG53)</f>
        <v>51</v>
      </c>
      <c r="O53" s="420">
        <f>IF(ISBLANK('3、期末成绩'!CH53)," ",'3、期末成绩'!CH53)</f>
        <v>51</v>
      </c>
      <c r="P53" s="420">
        <f>IF(ISBLANK('3、期末成绩'!CI53)," ",'3、期末成绩'!CI53)</f>
        <v>51</v>
      </c>
      <c r="Q53" s="420">
        <f>IF(ISBLANK('3、期末成绩'!CJ53)," ",'3、期末成绩'!CJ53)</f>
        <v>51</v>
      </c>
      <c r="R53" s="420">
        <f>IF(ISBLANK('3、期末成绩'!CK53)," ",'3、期末成绩'!CK53)</f>
        <v>51</v>
      </c>
      <c r="S53" s="420">
        <f>IF(ISBLANK('3、期末成绩'!CL53)," ",'3、期末成绩'!CL53)</f>
        <v>51</v>
      </c>
      <c r="T53" s="420">
        <f>IF(ISBLANK('3、期末成绩'!CM53)," ",'3、期末成绩'!CM53)</f>
        <v>51</v>
      </c>
      <c r="U53" s="420">
        <f>IF(ISBLANK('3、期末成绩'!CN53)," ",'3、期末成绩'!CN53)</f>
        <v>51</v>
      </c>
      <c r="V53" s="420">
        <v>0</v>
      </c>
    </row>
    <row r="54" spans="1:22">
      <c r="A54" s="243" t="str">
        <f>IF(ISBLANK('3、期末成绩'!A54)," ",'3、期末成绩'!A54)</f>
        <v>1653218</v>
      </c>
      <c r="B54" s="244" t="str">
        <f>IF(A54=" "," ",VLOOKUP(A54,'3、期末成绩'!$A$2:$B$201,2,FALSE))</f>
        <v>马伟杰</v>
      </c>
      <c r="C54" s="425">
        <f ca="1" t="shared" si="10"/>
        <v>63</v>
      </c>
      <c r="D54" s="425">
        <f ca="1" t="shared" si="11"/>
        <v>100</v>
      </c>
      <c r="E54" s="426"/>
      <c r="F54" s="427"/>
      <c r="G54" s="427"/>
      <c r="H54" s="424">
        <f ca="1">IF(A54=" "," ",SUMPRODUCT($C54:$G54,'1、课程目标与考核方式'!$C$13:$G$13)/100)</f>
        <v>21.45</v>
      </c>
      <c r="I54" s="424">
        <f ca="1">IF(A54=" "," ",ROUND(H54/SUM('1、课程目标与考核方式'!$C$13:$G$13)*'1、课程目标与考核方式'!$I$13,0))</f>
        <v>61</v>
      </c>
      <c r="J54" s="420">
        <f>IF(ISBLANK('3、期末成绩'!CO54)," ",'3、期末成绩'!CO54)</f>
        <v>95</v>
      </c>
      <c r="K54" s="420">
        <f ca="1">IF(ISBLANK('3、期末成绩'!CP54)," ",'3、期末成绩'!CP54)</f>
        <v>69</v>
      </c>
      <c r="L54" s="420">
        <f>IF(ISBLANK('3、期末成绩'!CE54)," ",'3、期末成绩'!CE54)</f>
        <v>52</v>
      </c>
      <c r="M54" s="420">
        <f>IF(ISBLANK('3、期末成绩'!CF54)," ",'3、期末成绩'!CF54)</f>
        <v>52</v>
      </c>
      <c r="N54" s="420">
        <f>IF(ISBLANK('3、期末成绩'!CG54)," ",'3、期末成绩'!CG54)</f>
        <v>52</v>
      </c>
      <c r="O54" s="420">
        <f>IF(ISBLANK('3、期末成绩'!CH54)," ",'3、期末成绩'!CH54)</f>
        <v>52</v>
      </c>
      <c r="P54" s="420">
        <f>IF(ISBLANK('3、期末成绩'!CI54)," ",'3、期末成绩'!CI54)</f>
        <v>52</v>
      </c>
      <c r="Q54" s="420">
        <f>IF(ISBLANK('3、期末成绩'!CJ54)," ",'3、期末成绩'!CJ54)</f>
        <v>52</v>
      </c>
      <c r="R54" s="420">
        <f>IF(ISBLANK('3、期末成绩'!CK54)," ",'3、期末成绩'!CK54)</f>
        <v>52</v>
      </c>
      <c r="S54" s="420">
        <f>IF(ISBLANK('3、期末成绩'!CL54)," ",'3、期末成绩'!CL54)</f>
        <v>52</v>
      </c>
      <c r="T54" s="420">
        <f>IF(ISBLANK('3、期末成绩'!CM54)," ",'3、期末成绩'!CM54)</f>
        <v>52</v>
      </c>
      <c r="U54" s="420">
        <f>IF(ISBLANK('3、期末成绩'!CN54)," ",'3、期末成绩'!CN54)</f>
        <v>52</v>
      </c>
      <c r="V54" s="420">
        <v>70</v>
      </c>
    </row>
    <row r="55" spans="1:22">
      <c r="A55" s="243" t="str">
        <f>IF(ISBLANK('3、期末成绩'!A55)," ",'3、期末成绩'!A55)</f>
        <v>1653219</v>
      </c>
      <c r="B55" s="244" t="str">
        <f>IF(A55=" "," ",VLOOKUP(A55,'3、期末成绩'!$A$2:$B$201,2,FALSE))</f>
        <v>裴祥君</v>
      </c>
      <c r="C55" s="425">
        <f ca="1" t="shared" si="10"/>
        <v>77</v>
      </c>
      <c r="D55" s="425">
        <f ca="1" t="shared" si="11"/>
        <v>85</v>
      </c>
      <c r="E55" s="426"/>
      <c r="F55" s="427"/>
      <c r="G55" s="427"/>
      <c r="H55" s="424">
        <f ca="1">IF(A55=" "," ",SUMPRODUCT($C55:$G55,'1、课程目标与考核方式'!$C$13:$G$13)/100)</f>
        <v>21.75</v>
      </c>
      <c r="I55" s="424">
        <f ca="1">IF(A55=" "," ",ROUND(H55/SUM('1、课程目标与考核方式'!$C$13:$G$13)*'1、课程目标与考核方式'!$I$13,0))</f>
        <v>62</v>
      </c>
      <c r="J55" s="420">
        <f>IF(ISBLANK('3、期末成绩'!CO55)," ",'3、期末成绩'!CO55)</f>
        <v>95</v>
      </c>
      <c r="K55" s="420">
        <f ca="1">IF(ISBLANK('3、期末成绩'!CP55)," ",'3、期末成绩'!CP55)</f>
        <v>69</v>
      </c>
      <c r="L55" s="420">
        <f>IF(ISBLANK('3、期末成绩'!CE55)," ",'3、期末成绩'!CE55)</f>
        <v>53</v>
      </c>
      <c r="M55" s="420">
        <f>IF(ISBLANK('3、期末成绩'!CF55)," ",'3、期末成绩'!CF55)</f>
        <v>53</v>
      </c>
      <c r="N55" s="420">
        <f>IF(ISBLANK('3、期末成绩'!CG55)," ",'3、期末成绩'!CG55)</f>
        <v>53</v>
      </c>
      <c r="O55" s="420">
        <f>IF(ISBLANK('3、期末成绩'!CH55)," ",'3、期末成绩'!CH55)</f>
        <v>53</v>
      </c>
      <c r="P55" s="420">
        <f>IF(ISBLANK('3、期末成绩'!CI55)," ",'3、期末成绩'!CI55)</f>
        <v>53</v>
      </c>
      <c r="Q55" s="420">
        <f>IF(ISBLANK('3、期末成绩'!CJ55)," ",'3、期末成绩'!CJ55)</f>
        <v>53</v>
      </c>
      <c r="R55" s="420">
        <f>IF(ISBLANK('3、期末成绩'!CK55)," ",'3、期末成绩'!CK55)</f>
        <v>53</v>
      </c>
      <c r="S55" s="420">
        <f>IF(ISBLANK('3、期末成绩'!CL55)," ",'3、期末成绩'!CL55)</f>
        <v>53</v>
      </c>
      <c r="T55" s="420">
        <f>IF(ISBLANK('3、期末成绩'!CM55)," ",'3、期末成绩'!CM55)</f>
        <v>53</v>
      </c>
      <c r="U55" s="420">
        <f>IF(ISBLANK('3、期末成绩'!CN55)," ",'3、期末成绩'!CN55)</f>
        <v>53</v>
      </c>
      <c r="V55" s="420">
        <v>55</v>
      </c>
    </row>
    <row r="56" spans="1:22">
      <c r="A56" s="243" t="str">
        <f>IF(ISBLANK('3、期末成绩'!A56)," ",'3、期末成绩'!A56)</f>
        <v>1653220</v>
      </c>
      <c r="B56" s="244" t="str">
        <f>IF(A56=" "," ",VLOOKUP(A56,'3、期末成绩'!$A$2:$B$201,2,FALSE))</f>
        <v>李森</v>
      </c>
      <c r="C56" s="425">
        <f ca="1" t="shared" si="10"/>
        <v>74</v>
      </c>
      <c r="D56" s="425">
        <f ca="1" t="shared" si="11"/>
        <v>90</v>
      </c>
      <c r="E56" s="426"/>
      <c r="F56" s="427"/>
      <c r="G56" s="427"/>
      <c r="H56" s="424">
        <f ca="1">IF(A56=" "," ",SUMPRODUCT($C56:$G56,'1、课程目标与考核方式'!$C$13:$G$13)/100)</f>
        <v>21.9</v>
      </c>
      <c r="I56" s="424">
        <f ca="1">IF(A56=" "," ",ROUND(H56/SUM('1、课程目标与考核方式'!$C$13:$G$13)*'1、课程目标与考核方式'!$I$13,0))</f>
        <v>62</v>
      </c>
      <c r="J56" s="420">
        <f>IF(ISBLANK('3、期末成绩'!CO56)," ",'3、期末成绩'!CO56)</f>
        <v>95</v>
      </c>
      <c r="K56" s="420">
        <f ca="1">IF(ISBLANK('3、期末成绩'!CP56)," ",'3、期末成绩'!CP56)</f>
        <v>69</v>
      </c>
      <c r="L56" s="420">
        <f>IF(ISBLANK('3、期末成绩'!CE56)," ",'3、期末成绩'!CE56)</f>
        <v>54</v>
      </c>
      <c r="M56" s="420">
        <f>IF(ISBLANK('3、期末成绩'!CF56)," ",'3、期末成绩'!CF56)</f>
        <v>54</v>
      </c>
      <c r="N56" s="420">
        <f>IF(ISBLANK('3、期末成绩'!CG56)," ",'3、期末成绩'!CG56)</f>
        <v>54</v>
      </c>
      <c r="O56" s="420">
        <f>IF(ISBLANK('3、期末成绩'!CH56)," ",'3、期末成绩'!CH56)</f>
        <v>54</v>
      </c>
      <c r="P56" s="420">
        <f>IF(ISBLANK('3、期末成绩'!CI56)," ",'3、期末成绩'!CI56)</f>
        <v>54</v>
      </c>
      <c r="Q56" s="420">
        <f>IF(ISBLANK('3、期末成绩'!CJ56)," ",'3、期末成绩'!CJ56)</f>
        <v>54</v>
      </c>
      <c r="R56" s="420">
        <f>IF(ISBLANK('3、期末成绩'!CK56)," ",'3、期末成绩'!CK56)</f>
        <v>54</v>
      </c>
      <c r="S56" s="420">
        <f>IF(ISBLANK('3、期末成绩'!CL56)," ",'3、期末成绩'!CL56)</f>
        <v>54</v>
      </c>
      <c r="T56" s="420">
        <f>IF(ISBLANK('3、期末成绩'!CM56)," ",'3、期末成绩'!CM56)</f>
        <v>54</v>
      </c>
      <c r="U56" s="420">
        <f>IF(ISBLANK('3、期末成绩'!CN56)," ",'3、期末成绩'!CN56)</f>
        <v>54</v>
      </c>
      <c r="V56" s="420">
        <v>50</v>
      </c>
    </row>
    <row r="57" spans="1:22">
      <c r="A57" s="243" t="str">
        <f>IF(ISBLANK('3、期末成绩'!A57)," ",'3、期末成绩'!A57)</f>
        <v>1653221</v>
      </c>
      <c r="B57" s="244" t="str">
        <f>IF(A57=" "," ",VLOOKUP(A57,'3、期末成绩'!$A$2:$B$201,2,FALSE))</f>
        <v>汤圣铭</v>
      </c>
      <c r="C57" s="425">
        <f ca="1" t="shared" si="10"/>
        <v>85</v>
      </c>
      <c r="D57" s="425">
        <f ca="1" t="shared" si="11"/>
        <v>86</v>
      </c>
      <c r="E57" s="426"/>
      <c r="F57" s="427"/>
      <c r="G57" s="427"/>
      <c r="H57" s="424">
        <f ca="1">IF(A57=" "," ",SUMPRODUCT($C57:$G57,'1、课程目标与考核方式'!$C$13:$G$13)/100)</f>
        <v>23.07</v>
      </c>
      <c r="I57" s="424">
        <f ca="1">IF(A57=" "," ",ROUND(H57/SUM('1、课程目标与考核方式'!$C$13:$G$13)*'1、课程目标与考核方式'!$I$13,0))</f>
        <v>66</v>
      </c>
      <c r="J57" s="420">
        <f>IF(ISBLANK('3、期末成绩'!CO57)," ",'3、期末成绩'!CO57)</f>
        <v>95</v>
      </c>
      <c r="K57" s="420">
        <f ca="1">IF(ISBLANK('3、期末成绩'!CP57)," ",'3、期末成绩'!CP57)</f>
        <v>71</v>
      </c>
      <c r="L57" s="420">
        <f>IF(ISBLANK('3、期末成绩'!CE57)," ",'3、期末成绩'!CE57)</f>
        <v>55</v>
      </c>
      <c r="M57" s="420">
        <f>IF(ISBLANK('3、期末成绩'!CF57)," ",'3、期末成绩'!CF57)</f>
        <v>55</v>
      </c>
      <c r="N57" s="420">
        <f>IF(ISBLANK('3、期末成绩'!CG57)," ",'3、期末成绩'!CG57)</f>
        <v>55</v>
      </c>
      <c r="O57" s="420">
        <f>IF(ISBLANK('3、期末成绩'!CH57)," ",'3、期末成绩'!CH57)</f>
        <v>55</v>
      </c>
      <c r="P57" s="420">
        <f>IF(ISBLANK('3、期末成绩'!CI57)," ",'3、期末成绩'!CI57)</f>
        <v>55</v>
      </c>
      <c r="Q57" s="420">
        <f>IF(ISBLANK('3、期末成绩'!CJ57)," ",'3、期末成绩'!CJ57)</f>
        <v>55</v>
      </c>
      <c r="R57" s="420">
        <f>IF(ISBLANK('3、期末成绩'!CK57)," ",'3、期末成绩'!CK57)</f>
        <v>55</v>
      </c>
      <c r="S57" s="420">
        <f>IF(ISBLANK('3、期末成绩'!CL57)," ",'3、期末成绩'!CL57)</f>
        <v>55</v>
      </c>
      <c r="T57" s="420">
        <f>IF(ISBLANK('3、期末成绩'!CM57)," ",'3、期末成绩'!CM57)</f>
        <v>55</v>
      </c>
      <c r="U57" s="420">
        <f>IF(ISBLANK('3、期末成绩'!CN57)," ",'3、期末成绩'!CN57)</f>
        <v>55</v>
      </c>
      <c r="V57" s="420">
        <v>92</v>
      </c>
    </row>
    <row r="58" spans="1:22">
      <c r="A58" s="243" t="str">
        <f>IF(ISBLANK('3、期末成绩'!A58)," ",'3、期末成绩'!A58)</f>
        <v>1653222</v>
      </c>
      <c r="B58" s="244" t="str">
        <f>IF(A58=" "," ",VLOOKUP(A58,'3、期末成绩'!$A$2:$B$201,2,FALSE))</f>
        <v>邢鹏</v>
      </c>
      <c r="C58" s="425">
        <f ca="1" t="shared" si="10"/>
        <v>64</v>
      </c>
      <c r="D58" s="425">
        <f ca="1" t="shared" si="11"/>
        <v>79</v>
      </c>
      <c r="E58" s="426"/>
      <c r="F58" s="427"/>
      <c r="G58" s="427"/>
      <c r="H58" s="424">
        <f ca="1">IF(A58=" "," ",SUMPRODUCT($C58:$G58,'1、课程目标与考核方式'!$C$13:$G$13)/100)</f>
        <v>19.08</v>
      </c>
      <c r="I58" s="424">
        <f ca="1">IF(A58=" "," ",ROUND(H58/SUM('1、课程目标与考核方式'!$C$13:$G$13)*'1、课程目标与考核方式'!$I$13,0))</f>
        <v>54</v>
      </c>
      <c r="J58" s="420">
        <f>IF(ISBLANK('3、期末成绩'!CO58)," ",'3、期末成绩'!CO58)</f>
        <v>95</v>
      </c>
      <c r="K58" s="420">
        <f ca="1">IF(ISBLANK('3、期末成绩'!CP58)," ",'3、期末成绩'!CP58)</f>
        <v>67</v>
      </c>
      <c r="L58" s="420">
        <f>IF(ISBLANK('3、期末成绩'!CE58)," ",'3、期末成绩'!CE58)</f>
        <v>56</v>
      </c>
      <c r="M58" s="420">
        <f>IF(ISBLANK('3、期末成绩'!CF58)," ",'3、期末成绩'!CF58)</f>
        <v>56</v>
      </c>
      <c r="N58" s="420">
        <f>IF(ISBLANK('3、期末成绩'!CG58)," ",'3、期末成绩'!CG58)</f>
        <v>56</v>
      </c>
      <c r="O58" s="420">
        <f>IF(ISBLANK('3、期末成绩'!CH58)," ",'3、期末成绩'!CH58)</f>
        <v>56</v>
      </c>
      <c r="P58" s="420">
        <f>IF(ISBLANK('3、期末成绩'!CI58)," ",'3、期末成绩'!CI58)</f>
        <v>56</v>
      </c>
      <c r="Q58" s="420">
        <f>IF(ISBLANK('3、期末成绩'!CJ58)," ",'3、期末成绩'!CJ58)</f>
        <v>56</v>
      </c>
      <c r="R58" s="420">
        <f>IF(ISBLANK('3、期末成绩'!CK58)," ",'3、期末成绩'!CK58)</f>
        <v>56</v>
      </c>
      <c r="S58" s="420">
        <f>IF(ISBLANK('3、期末成绩'!CL58)," ",'3、期末成绩'!CL58)</f>
        <v>56</v>
      </c>
      <c r="T58" s="420">
        <f>IF(ISBLANK('3、期末成绩'!CM58)," ",'3、期末成绩'!CM58)</f>
        <v>56</v>
      </c>
      <c r="U58" s="420">
        <f>IF(ISBLANK('3、期末成绩'!CN58)," ",'3、期末成绩'!CN58)</f>
        <v>56</v>
      </c>
      <c r="V58" s="420">
        <v>61</v>
      </c>
    </row>
    <row r="59" spans="1:22">
      <c r="A59" s="243" t="str">
        <f>IF(ISBLANK('3、期末成绩'!A59)," ",'3、期末成绩'!A59)</f>
        <v>1653223</v>
      </c>
      <c r="B59" s="244" t="str">
        <f>IF(A59=" "," ",VLOOKUP(A59,'3、期末成绩'!$A$2:$B$201,2,FALSE))</f>
        <v>徐俊章</v>
      </c>
      <c r="C59" s="425">
        <f ca="1" t="shared" si="10"/>
        <v>85</v>
      </c>
      <c r="D59" s="425">
        <f ca="1" t="shared" si="11"/>
        <v>67</v>
      </c>
      <c r="E59" s="426"/>
      <c r="F59" s="427"/>
      <c r="G59" s="427"/>
      <c r="H59" s="424">
        <f ca="1">IF(A59=" "," ",SUMPRODUCT($C59:$G59,'1、课程目标与考核方式'!$C$13:$G$13)/100)</f>
        <v>20.79</v>
      </c>
      <c r="I59" s="424">
        <f ca="1">IF(A59=" "," ",ROUND(H59/SUM('1、课程目标与考核方式'!$C$13:$G$13)*'1、课程目标与考核方式'!$I$13,0))</f>
        <v>59</v>
      </c>
      <c r="J59" s="420">
        <f>IF(ISBLANK('3、期末成绩'!CO59)," ",'3、期末成绩'!CO59)</f>
        <v>95</v>
      </c>
      <c r="K59" s="420">
        <f ca="1">IF(ISBLANK('3、期末成绩'!CP59)," ",'3、期末成绩'!CP59)</f>
        <v>68</v>
      </c>
      <c r="L59" s="420">
        <f>IF(ISBLANK('3、期末成绩'!CE59)," ",'3、期末成绩'!CE59)</f>
        <v>57</v>
      </c>
      <c r="M59" s="420">
        <f>IF(ISBLANK('3、期末成绩'!CF59)," ",'3、期末成绩'!CF59)</f>
        <v>57</v>
      </c>
      <c r="N59" s="420">
        <f>IF(ISBLANK('3、期末成绩'!CG59)," ",'3、期末成绩'!CG59)</f>
        <v>57</v>
      </c>
      <c r="O59" s="420">
        <f>IF(ISBLANK('3、期末成绩'!CH59)," ",'3、期末成绩'!CH59)</f>
        <v>57</v>
      </c>
      <c r="P59" s="420">
        <f>IF(ISBLANK('3、期末成绩'!CI59)," ",'3、期末成绩'!CI59)</f>
        <v>57</v>
      </c>
      <c r="Q59" s="420">
        <f>IF(ISBLANK('3、期末成绩'!CJ59)," ",'3、期末成绩'!CJ59)</f>
        <v>57</v>
      </c>
      <c r="R59" s="420">
        <f>IF(ISBLANK('3、期末成绩'!CK59)," ",'3、期末成绩'!CK59)</f>
        <v>57</v>
      </c>
      <c r="S59" s="420">
        <f>IF(ISBLANK('3、期末成绩'!CL59)," ",'3、期末成绩'!CL59)</f>
        <v>57</v>
      </c>
      <c r="T59" s="420">
        <f>IF(ISBLANK('3、期末成绩'!CM59)," ",'3、期末成绩'!CM59)</f>
        <v>57</v>
      </c>
      <c r="U59" s="420">
        <f>IF(ISBLANK('3、期末成绩'!CN59)," ",'3、期末成绩'!CN59)</f>
        <v>57</v>
      </c>
      <c r="V59" s="420">
        <v>31</v>
      </c>
    </row>
    <row r="60" spans="1:22">
      <c r="A60" s="243" t="str">
        <f>IF(ISBLANK('3、期末成绩'!A60)," ",'3、期末成绩'!A60)</f>
        <v>1653224</v>
      </c>
      <c r="B60" s="244" t="str">
        <f>IF(A60=" "," ",VLOOKUP(A60,'3、期末成绩'!$A$2:$B$201,2,FALSE))</f>
        <v>林杰</v>
      </c>
      <c r="C60" s="425">
        <f ca="1" t="shared" si="10"/>
        <v>77</v>
      </c>
      <c r="D60" s="425">
        <f ca="1" t="shared" si="11"/>
        <v>95</v>
      </c>
      <c r="E60" s="426"/>
      <c r="F60" s="427"/>
      <c r="G60" s="427"/>
      <c r="H60" s="424">
        <f ca="1">IF(A60=" "," ",SUMPRODUCT($C60:$G60,'1、课程目标与考核方式'!$C$13:$G$13)/100)</f>
        <v>22.95</v>
      </c>
      <c r="I60" s="424">
        <f ca="1">IF(A60=" "," ",ROUND(H60/SUM('1、课程目标与考核方式'!$C$13:$G$13)*'1、课程目标与考核方式'!$I$13,0))</f>
        <v>65</v>
      </c>
      <c r="J60" s="420">
        <f>IF(ISBLANK('3、期末成绩'!CO60)," ",'3、期末成绩'!CO60)</f>
        <v>95</v>
      </c>
      <c r="K60" s="420">
        <f ca="1">IF(ISBLANK('3、期末成绩'!CP60)," ",'3、期末成绩'!CP60)</f>
        <v>70</v>
      </c>
      <c r="L60" s="420">
        <f>IF(ISBLANK('3、期末成绩'!CE60)," ",'3、期末成绩'!CE60)</f>
        <v>58</v>
      </c>
      <c r="M60" s="420">
        <f>IF(ISBLANK('3、期末成绩'!CF60)," ",'3、期末成绩'!CF60)</f>
        <v>58</v>
      </c>
      <c r="N60" s="420">
        <f>IF(ISBLANK('3、期末成绩'!CG60)," ",'3、期末成绩'!CG60)</f>
        <v>58</v>
      </c>
      <c r="O60" s="420">
        <f>IF(ISBLANK('3、期末成绩'!CH60)," ",'3、期末成绩'!CH60)</f>
        <v>58</v>
      </c>
      <c r="P60" s="420">
        <f>IF(ISBLANK('3、期末成绩'!CI60)," ",'3、期末成绩'!CI60)</f>
        <v>58</v>
      </c>
      <c r="Q60" s="420">
        <f>IF(ISBLANK('3、期末成绩'!CJ60)," ",'3、期末成绩'!CJ60)</f>
        <v>58</v>
      </c>
      <c r="R60" s="420">
        <f>IF(ISBLANK('3、期末成绩'!CK60)," ",'3、期末成绩'!CK60)</f>
        <v>58</v>
      </c>
      <c r="S60" s="420">
        <f>IF(ISBLANK('3、期末成绩'!CL60)," ",'3、期末成绩'!CL60)</f>
        <v>58</v>
      </c>
      <c r="T60" s="420">
        <f>IF(ISBLANK('3、期末成绩'!CM60)," ",'3、期末成绩'!CM60)</f>
        <v>58</v>
      </c>
      <c r="U60" s="420">
        <f>IF(ISBLANK('3、期末成绩'!CN60)," ",'3、期末成绩'!CN60)</f>
        <v>58</v>
      </c>
      <c r="V60" s="420">
        <v>60</v>
      </c>
    </row>
    <row r="61" spans="1:22">
      <c r="A61" s="243" t="str">
        <f>IF(ISBLANK('3、期末成绩'!A61)," ",'3、期末成绩'!A61)</f>
        <v>1653225</v>
      </c>
      <c r="B61" s="244" t="str">
        <f>IF(A61=" "," ",VLOOKUP(A61,'3、期末成绩'!$A$2:$B$201,2,FALSE))</f>
        <v>蔡腾锋</v>
      </c>
      <c r="C61" s="425">
        <f ca="1" t="shared" si="10"/>
        <v>95</v>
      </c>
      <c r="D61" s="425">
        <f ca="1" t="shared" si="11"/>
        <v>91</v>
      </c>
      <c r="E61" s="426"/>
      <c r="F61" s="427"/>
      <c r="G61" s="427"/>
      <c r="H61" s="424">
        <f ca="1">IF(A61=" "," ",SUMPRODUCT($C61:$G61,'1、课程目标与考核方式'!$C$13:$G$13)/100)</f>
        <v>25.17</v>
      </c>
      <c r="I61" s="424">
        <f ca="1">IF(A61=" "," ",ROUND(H61/SUM('1、课程目标与考核方式'!$C$13:$G$13)*'1、课程目标与考核方式'!$I$13,0))</f>
        <v>72</v>
      </c>
      <c r="J61" s="420">
        <f>IF(ISBLANK('3、期末成绩'!CO61)," ",'3、期末成绩'!CO61)</f>
        <v>95</v>
      </c>
      <c r="K61" s="420">
        <f ca="1">IF(ISBLANK('3、期末成绩'!CP61)," ",'3、期末成绩'!CP61)</f>
        <v>73</v>
      </c>
      <c r="L61" s="420">
        <f>IF(ISBLANK('3、期末成绩'!CE61)," ",'3、期末成绩'!CE61)</f>
        <v>59</v>
      </c>
      <c r="M61" s="420">
        <f>IF(ISBLANK('3、期末成绩'!CF61)," ",'3、期末成绩'!CF61)</f>
        <v>59</v>
      </c>
      <c r="N61" s="420">
        <f>IF(ISBLANK('3、期末成绩'!CG61)," ",'3、期末成绩'!CG61)</f>
        <v>59</v>
      </c>
      <c r="O61" s="420">
        <f>IF(ISBLANK('3、期末成绩'!CH61)," ",'3、期末成绩'!CH61)</f>
        <v>59</v>
      </c>
      <c r="P61" s="420">
        <f>IF(ISBLANK('3、期末成绩'!CI61)," ",'3、期末成绩'!CI61)</f>
        <v>59</v>
      </c>
      <c r="Q61" s="420">
        <f>IF(ISBLANK('3、期末成绩'!CJ61)," ",'3、期末成绩'!CJ61)</f>
        <v>59</v>
      </c>
      <c r="R61" s="420">
        <f>IF(ISBLANK('3、期末成绩'!CK61)," ",'3、期末成绩'!CK61)</f>
        <v>59</v>
      </c>
      <c r="S61" s="420">
        <f>IF(ISBLANK('3、期末成绩'!CL61)," ",'3、期末成绩'!CL61)</f>
        <v>59</v>
      </c>
      <c r="T61" s="420">
        <f>IF(ISBLANK('3、期末成绩'!CM61)," ",'3、期末成绩'!CM61)</f>
        <v>59</v>
      </c>
      <c r="U61" s="420">
        <f>IF(ISBLANK('3、期末成绩'!CN61)," ",'3、期末成绩'!CN61)</f>
        <v>59</v>
      </c>
      <c r="V61" s="420">
        <v>59</v>
      </c>
    </row>
    <row r="62" spans="1:22">
      <c r="A62" s="243" t="str">
        <f>IF(ISBLANK('3、期末成绩'!A62)," ",'3、期末成绩'!A62)</f>
        <v>1653226</v>
      </c>
      <c r="B62" s="244" t="str">
        <f>IF(A62=" "," ",VLOOKUP(A62,'3、期末成绩'!$A$2:$B$201,2,FALSE))</f>
        <v>赖铭志</v>
      </c>
      <c r="C62" s="425">
        <f ca="1" t="shared" si="10"/>
        <v>72</v>
      </c>
      <c r="D62" s="425">
        <f ca="1" t="shared" si="11"/>
        <v>89</v>
      </c>
      <c r="E62" s="426"/>
      <c r="F62" s="427"/>
      <c r="G62" s="427"/>
      <c r="H62" s="424">
        <f ca="1">IF(A62=" "," ",SUMPRODUCT($C62:$G62,'1、课程目标与考核方式'!$C$13:$G$13)/100)</f>
        <v>21.48</v>
      </c>
      <c r="I62" s="424">
        <f ca="1">IF(A62=" "," ",ROUND(H62/SUM('1、课程目标与考核方式'!$C$13:$G$13)*'1、课程目标与考核方式'!$I$13,0))</f>
        <v>61</v>
      </c>
      <c r="J62" s="420">
        <f>IF(ISBLANK('3、期末成绩'!CO62)," ",'3、期末成绩'!CO62)</f>
        <v>95</v>
      </c>
      <c r="K62" s="420">
        <f ca="1">IF(ISBLANK('3、期末成绩'!CP62)," ",'3、期末成绩'!CP62)</f>
        <v>69</v>
      </c>
      <c r="L62" s="420">
        <f>IF(ISBLANK('3、期末成绩'!CE62)," ",'3、期末成绩'!CE62)</f>
        <v>60</v>
      </c>
      <c r="M62" s="420">
        <f>IF(ISBLANK('3、期末成绩'!CF62)," ",'3、期末成绩'!CF62)</f>
        <v>60</v>
      </c>
      <c r="N62" s="420">
        <f>IF(ISBLANK('3、期末成绩'!CG62)," ",'3、期末成绩'!CG62)</f>
        <v>60</v>
      </c>
      <c r="O62" s="420">
        <f>IF(ISBLANK('3、期末成绩'!CH62)," ",'3、期末成绩'!CH62)</f>
        <v>60</v>
      </c>
      <c r="P62" s="420">
        <f>IF(ISBLANK('3、期末成绩'!CI62)," ",'3、期末成绩'!CI62)</f>
        <v>60</v>
      </c>
      <c r="Q62" s="420">
        <f>IF(ISBLANK('3、期末成绩'!CJ62)," ",'3、期末成绩'!CJ62)</f>
        <v>60</v>
      </c>
      <c r="R62" s="420">
        <f>IF(ISBLANK('3、期末成绩'!CK62)," ",'3、期末成绩'!CK62)</f>
        <v>60</v>
      </c>
      <c r="S62" s="420">
        <f>IF(ISBLANK('3、期末成绩'!CL62)," ",'3、期末成绩'!CL62)</f>
        <v>60</v>
      </c>
      <c r="T62" s="420">
        <f>IF(ISBLANK('3、期末成绩'!CM62)," ",'3、期末成绩'!CM62)</f>
        <v>60</v>
      </c>
      <c r="U62" s="420">
        <f>IF(ISBLANK('3、期末成绩'!CN62)," ",'3、期末成绩'!CN62)</f>
        <v>60</v>
      </c>
      <c r="V62" s="420">
        <v>57</v>
      </c>
    </row>
    <row r="63" spans="1:22">
      <c r="A63" s="243" t="str">
        <f>IF(ISBLANK('3、期末成绩'!A63)," ",'3、期末成绩'!A63)</f>
        <v>1653227</v>
      </c>
      <c r="B63" s="244" t="str">
        <f>IF(A63=" "," ",VLOOKUP(A63,'3、期末成绩'!$A$2:$B$201,2,FALSE))</f>
        <v>陈昭霖</v>
      </c>
      <c r="C63" s="425">
        <f ca="1" t="shared" ref="C63:C71" si="12">60+RANDBETWEEN(0,40)</f>
        <v>88</v>
      </c>
      <c r="D63" s="425">
        <f ca="1" t="shared" ref="D63:D71" si="13">60+RANDBETWEEN(0,40)</f>
        <v>98</v>
      </c>
      <c r="E63" s="426"/>
      <c r="F63" s="427"/>
      <c r="G63" s="427"/>
      <c r="H63" s="424">
        <f ca="1">IF(A63=" "," ",SUMPRODUCT($C63:$G63,'1、课程目标与考核方式'!$C$13:$G$13)/100)</f>
        <v>24.96</v>
      </c>
      <c r="I63" s="424">
        <f ca="1">IF(A63=" "," ",ROUND(H63/SUM('1、课程目标与考核方式'!$C$13:$G$13)*'1、课程目标与考核方式'!$I$13,0))</f>
        <v>71</v>
      </c>
      <c r="J63" s="420">
        <f>IF(ISBLANK('3、期末成绩'!CO63)," ",'3、期末成绩'!CO63)</f>
        <v>95</v>
      </c>
      <c r="K63" s="420">
        <f ca="1">IF(ISBLANK('3、期末成绩'!CP63)," ",'3、期末成绩'!CP63)</f>
        <v>72</v>
      </c>
      <c r="L63" s="420">
        <f>IF(ISBLANK('3、期末成绩'!CE63)," ",'3、期末成绩'!CE63)</f>
        <v>61</v>
      </c>
      <c r="M63" s="420">
        <f>IF(ISBLANK('3、期末成绩'!CF63)," ",'3、期末成绩'!CF63)</f>
        <v>61</v>
      </c>
      <c r="N63" s="420">
        <f>IF(ISBLANK('3、期末成绩'!CG63)," ",'3、期末成绩'!CG63)</f>
        <v>61</v>
      </c>
      <c r="O63" s="420">
        <f>IF(ISBLANK('3、期末成绩'!CH63)," ",'3、期末成绩'!CH63)</f>
        <v>61</v>
      </c>
      <c r="P63" s="420">
        <f>IF(ISBLANK('3、期末成绩'!CI63)," ",'3、期末成绩'!CI63)</f>
        <v>61</v>
      </c>
      <c r="Q63" s="420">
        <f>IF(ISBLANK('3、期末成绩'!CJ63)," ",'3、期末成绩'!CJ63)</f>
        <v>61</v>
      </c>
      <c r="R63" s="420">
        <f>IF(ISBLANK('3、期末成绩'!CK63)," ",'3、期末成绩'!CK63)</f>
        <v>61</v>
      </c>
      <c r="S63" s="420">
        <f>IF(ISBLANK('3、期末成绩'!CL63)," ",'3、期末成绩'!CL63)</f>
        <v>61</v>
      </c>
      <c r="T63" s="420">
        <f>IF(ISBLANK('3、期末成绩'!CM63)," ",'3、期末成绩'!CM63)</f>
        <v>61</v>
      </c>
      <c r="U63" s="420">
        <f>IF(ISBLANK('3、期末成绩'!CN63)," ",'3、期末成绩'!CN63)</f>
        <v>61</v>
      </c>
      <c r="V63" s="420">
        <v>99</v>
      </c>
    </row>
    <row r="64" spans="1:22">
      <c r="A64" s="243" t="str">
        <f>IF(ISBLANK('3、期末成绩'!A64)," ",'3、期末成绩'!A64)</f>
        <v>1653228</v>
      </c>
      <c r="B64" s="244" t="str">
        <f>IF(A64=" "," ",VLOOKUP(A64,'3、期末成绩'!$A$2:$B$201,2,FALSE))</f>
        <v>杨欣</v>
      </c>
      <c r="C64" s="425">
        <f ca="1" t="shared" si="12"/>
        <v>76</v>
      </c>
      <c r="D64" s="425">
        <f ca="1" t="shared" si="13"/>
        <v>77</v>
      </c>
      <c r="E64" s="426"/>
      <c r="F64" s="427"/>
      <c r="G64" s="427"/>
      <c r="H64" s="424">
        <f ca="1">IF(A64=" "," ",SUMPRODUCT($C64:$G64,'1、课程目标与考核方式'!$C$13:$G$13)/100)</f>
        <v>20.64</v>
      </c>
      <c r="I64" s="424">
        <f ca="1">IF(A64=" "," ",ROUND(H64/SUM('1、课程目标与考核方式'!$C$13:$G$13)*'1、课程目标与考核方式'!$I$13,0))</f>
        <v>59</v>
      </c>
      <c r="J64" s="420">
        <f>IF(ISBLANK('3、期末成绩'!CO64)," ",'3、期末成绩'!CO64)</f>
        <v>95</v>
      </c>
      <c r="K64" s="420">
        <f ca="1">IF(ISBLANK('3、期末成绩'!CP64)," ",'3、期末成绩'!CP64)</f>
        <v>68</v>
      </c>
      <c r="L64" s="420">
        <f>IF(ISBLANK('3、期末成绩'!CE64)," ",'3、期末成绩'!CE64)</f>
        <v>62</v>
      </c>
      <c r="M64" s="420">
        <f>IF(ISBLANK('3、期末成绩'!CF64)," ",'3、期末成绩'!CF64)</f>
        <v>62</v>
      </c>
      <c r="N64" s="420">
        <f>IF(ISBLANK('3、期末成绩'!CG64)," ",'3、期末成绩'!CG64)</f>
        <v>62</v>
      </c>
      <c r="O64" s="420">
        <f>IF(ISBLANK('3、期末成绩'!CH64)," ",'3、期末成绩'!CH64)</f>
        <v>62</v>
      </c>
      <c r="P64" s="420">
        <f>IF(ISBLANK('3、期末成绩'!CI64)," ",'3、期末成绩'!CI64)</f>
        <v>62</v>
      </c>
      <c r="Q64" s="420">
        <f>IF(ISBLANK('3、期末成绩'!CJ64)," ",'3、期末成绩'!CJ64)</f>
        <v>62</v>
      </c>
      <c r="R64" s="420">
        <f>IF(ISBLANK('3、期末成绩'!CK64)," ",'3、期末成绩'!CK64)</f>
        <v>62</v>
      </c>
      <c r="S64" s="420">
        <f>IF(ISBLANK('3、期末成绩'!CL64)," ",'3、期末成绩'!CL64)</f>
        <v>62</v>
      </c>
      <c r="T64" s="420">
        <f>IF(ISBLANK('3、期末成绩'!CM64)," ",'3、期末成绩'!CM64)</f>
        <v>62</v>
      </c>
      <c r="U64" s="420">
        <f>IF(ISBLANK('3、期末成绩'!CN64)," ",'3、期末成绩'!CN64)</f>
        <v>62</v>
      </c>
      <c r="V64" s="420">
        <v>15</v>
      </c>
    </row>
    <row r="65" spans="1:22">
      <c r="A65" s="243" t="str">
        <f>IF(ISBLANK('3、期末成绩'!A65)," ",'3、期末成绩'!A65)</f>
        <v>1653229</v>
      </c>
      <c r="B65" s="244" t="str">
        <f>IF(A65=" "," ",VLOOKUP(A65,'3、期末成绩'!$A$2:$B$201,2,FALSE))</f>
        <v>张连坡</v>
      </c>
      <c r="C65" s="425">
        <f ca="1" t="shared" si="12"/>
        <v>73</v>
      </c>
      <c r="D65" s="425">
        <f ca="1" t="shared" si="13"/>
        <v>76</v>
      </c>
      <c r="E65" s="426"/>
      <c r="F65" s="427"/>
      <c r="G65" s="427"/>
      <c r="H65" s="424">
        <f ca="1">IF(A65=" "," ",SUMPRODUCT($C65:$G65,'1、课程目标与考核方式'!$C$13:$G$13)/100)</f>
        <v>20.07</v>
      </c>
      <c r="I65" s="424">
        <f ca="1">IF(A65=" "," ",ROUND(H65/SUM('1、课程目标与考核方式'!$C$13:$G$13)*'1、课程目标与考核方式'!$I$13,0))</f>
        <v>57</v>
      </c>
      <c r="J65" s="420">
        <f>IF(ISBLANK('3、期末成绩'!CO65)," ",'3、期末成绩'!CO65)</f>
        <v>95</v>
      </c>
      <c r="K65" s="420">
        <f ca="1">IF(ISBLANK('3、期末成绩'!CP65)," ",'3、期末成绩'!CP65)</f>
        <v>68</v>
      </c>
      <c r="L65" s="420">
        <f>IF(ISBLANK('3、期末成绩'!CE65)," ",'3、期末成绩'!CE65)</f>
        <v>63</v>
      </c>
      <c r="M65" s="420">
        <f>IF(ISBLANK('3、期末成绩'!CF65)," ",'3、期末成绩'!CF65)</f>
        <v>63</v>
      </c>
      <c r="N65" s="420">
        <f>IF(ISBLANK('3、期末成绩'!CG65)," ",'3、期末成绩'!CG65)</f>
        <v>63</v>
      </c>
      <c r="O65" s="420">
        <f>IF(ISBLANK('3、期末成绩'!CH65)," ",'3、期末成绩'!CH65)</f>
        <v>63</v>
      </c>
      <c r="P65" s="420">
        <f>IF(ISBLANK('3、期末成绩'!CI65)," ",'3、期末成绩'!CI65)</f>
        <v>63</v>
      </c>
      <c r="Q65" s="420">
        <f>IF(ISBLANK('3、期末成绩'!CJ65)," ",'3、期末成绩'!CJ65)</f>
        <v>63</v>
      </c>
      <c r="R65" s="420">
        <f>IF(ISBLANK('3、期末成绩'!CK65)," ",'3、期末成绩'!CK65)</f>
        <v>63</v>
      </c>
      <c r="S65" s="420">
        <f>IF(ISBLANK('3、期末成绩'!CL65)," ",'3、期末成绩'!CL65)</f>
        <v>63</v>
      </c>
      <c r="T65" s="420">
        <f>IF(ISBLANK('3、期末成绩'!CM65)," ",'3、期末成绩'!CM65)</f>
        <v>63</v>
      </c>
      <c r="U65" s="420">
        <f>IF(ISBLANK('3、期末成绩'!CN65)," ",'3、期末成绩'!CN65)</f>
        <v>63</v>
      </c>
      <c r="V65" s="420">
        <v>57</v>
      </c>
    </row>
    <row r="66" spans="1:22">
      <c r="A66" s="243" t="str">
        <f>IF(ISBLANK('3、期末成绩'!A66)," ",'3、期末成绩'!A66)</f>
        <v>1653230</v>
      </c>
      <c r="B66" s="244" t="str">
        <f>IF(A66=" "," ",VLOOKUP(A66,'3、期末成绩'!$A$2:$B$201,2,FALSE))</f>
        <v>王元天</v>
      </c>
      <c r="C66" s="425">
        <f ca="1" t="shared" si="12"/>
        <v>99</v>
      </c>
      <c r="D66" s="425">
        <f ca="1" t="shared" si="13"/>
        <v>90</v>
      </c>
      <c r="E66" s="426"/>
      <c r="F66" s="427"/>
      <c r="G66" s="427"/>
      <c r="H66" s="424">
        <f ca="1">IF(A66=" "," ",SUMPRODUCT($C66:$G66,'1、课程目标与考核方式'!$C$13:$G$13)/100)</f>
        <v>25.65</v>
      </c>
      <c r="I66" s="424">
        <f ca="1">IF(A66=" "," ",ROUND(H66/SUM('1、课程目标与考核方式'!$C$13:$G$13)*'1、课程目标与考核方式'!$I$13,0))</f>
        <v>73</v>
      </c>
      <c r="J66" s="420">
        <f>IF(ISBLANK('3、期末成绩'!CO66)," ",'3、期末成绩'!CO66)</f>
        <v>95</v>
      </c>
      <c r="K66" s="420">
        <f ca="1">IF(ISBLANK('3、期末成绩'!CP66)," ",'3、期末成绩'!CP66)</f>
        <v>73</v>
      </c>
      <c r="L66" s="420">
        <f>IF(ISBLANK('3、期末成绩'!CE66)," ",'3、期末成绩'!CE66)</f>
        <v>64</v>
      </c>
      <c r="M66" s="420">
        <f>IF(ISBLANK('3、期末成绩'!CF66)," ",'3、期末成绩'!CF66)</f>
        <v>64</v>
      </c>
      <c r="N66" s="420">
        <f>IF(ISBLANK('3、期末成绩'!CG66)," ",'3、期末成绩'!CG66)</f>
        <v>64</v>
      </c>
      <c r="O66" s="420">
        <f>IF(ISBLANK('3、期末成绩'!CH66)," ",'3、期末成绩'!CH66)</f>
        <v>64</v>
      </c>
      <c r="P66" s="420">
        <f>IF(ISBLANK('3、期末成绩'!CI66)," ",'3、期末成绩'!CI66)</f>
        <v>64</v>
      </c>
      <c r="Q66" s="420">
        <f>IF(ISBLANK('3、期末成绩'!CJ66)," ",'3、期末成绩'!CJ66)</f>
        <v>64</v>
      </c>
      <c r="R66" s="420">
        <f>IF(ISBLANK('3、期末成绩'!CK66)," ",'3、期末成绩'!CK66)</f>
        <v>64</v>
      </c>
      <c r="S66" s="420">
        <f>IF(ISBLANK('3、期末成绩'!CL66)," ",'3、期末成绩'!CL66)</f>
        <v>64</v>
      </c>
      <c r="T66" s="420">
        <f>IF(ISBLANK('3、期末成绩'!CM66)," ",'3、期末成绩'!CM66)</f>
        <v>64</v>
      </c>
      <c r="U66" s="420">
        <f>IF(ISBLANK('3、期末成绩'!CN66)," ",'3、期末成绩'!CN66)</f>
        <v>64</v>
      </c>
      <c r="V66" s="420">
        <v>46</v>
      </c>
    </row>
    <row r="67" spans="1:22">
      <c r="A67" s="243" t="str">
        <f>IF(ISBLANK('3、期末成绩'!A67)," ",'3、期末成绩'!A67)</f>
        <v>1653231</v>
      </c>
      <c r="B67" s="244" t="str">
        <f>IF(A67=" "," ",VLOOKUP(A67,'3、期末成绩'!$A$2:$B$201,2,FALSE))</f>
        <v>蒋弦志</v>
      </c>
      <c r="C67" s="425">
        <f ca="1" t="shared" si="12"/>
        <v>94</v>
      </c>
      <c r="D67" s="425">
        <f ca="1" t="shared" si="13"/>
        <v>70</v>
      </c>
      <c r="E67" s="426"/>
      <c r="F67" s="427"/>
      <c r="G67" s="427"/>
      <c r="H67" s="424">
        <f ca="1">IF(A67=" "," ",SUMPRODUCT($C67:$G67,'1、课程目标与考核方式'!$C$13:$G$13)/100)</f>
        <v>22.5</v>
      </c>
      <c r="I67" s="424">
        <f ca="1">IF(A67=" "," ",ROUND(H67/SUM('1、课程目标与考核方式'!$C$13:$G$13)*'1、课程目标与考核方式'!$I$13,0))</f>
        <v>64</v>
      </c>
      <c r="J67" s="420">
        <f>IF(ISBLANK('3、期末成绩'!CO67)," ",'3、期末成绩'!CO67)</f>
        <v>95</v>
      </c>
      <c r="K67" s="420">
        <f ca="1">IF(ISBLANK('3、期末成绩'!CP67)," ",'3、期末成绩'!CP67)</f>
        <v>70</v>
      </c>
      <c r="L67" s="420">
        <f>IF(ISBLANK('3、期末成绩'!CE67)," ",'3、期末成绩'!CE67)</f>
        <v>65</v>
      </c>
      <c r="M67" s="420">
        <f>IF(ISBLANK('3、期末成绩'!CF67)," ",'3、期末成绩'!CF67)</f>
        <v>65</v>
      </c>
      <c r="N67" s="420">
        <f>IF(ISBLANK('3、期末成绩'!CG67)," ",'3、期末成绩'!CG67)</f>
        <v>65</v>
      </c>
      <c r="O67" s="420">
        <f>IF(ISBLANK('3、期末成绩'!CH67)," ",'3、期末成绩'!CH67)</f>
        <v>65</v>
      </c>
      <c r="P67" s="420">
        <f>IF(ISBLANK('3、期末成绩'!CI67)," ",'3、期末成绩'!CI67)</f>
        <v>65</v>
      </c>
      <c r="Q67" s="420">
        <f>IF(ISBLANK('3、期末成绩'!CJ67)," ",'3、期末成绩'!CJ67)</f>
        <v>65</v>
      </c>
      <c r="R67" s="420">
        <f>IF(ISBLANK('3、期末成绩'!CK67)," ",'3、期末成绩'!CK67)</f>
        <v>65</v>
      </c>
      <c r="S67" s="420">
        <f>IF(ISBLANK('3、期末成绩'!CL67)," ",'3、期末成绩'!CL67)</f>
        <v>65</v>
      </c>
      <c r="T67" s="420">
        <f>IF(ISBLANK('3、期末成绩'!CM67)," ",'3、期末成绩'!CM67)</f>
        <v>65</v>
      </c>
      <c r="U67" s="420">
        <f>IF(ISBLANK('3、期末成绩'!CN67)," ",'3、期末成绩'!CN67)</f>
        <v>65</v>
      </c>
      <c r="V67" s="420">
        <v>54</v>
      </c>
    </row>
    <row r="68" spans="1:22">
      <c r="A68" s="243" t="str">
        <f>IF(ISBLANK('3、期末成绩'!A68)," ",'3、期末成绩'!A68)</f>
        <v>1653232</v>
      </c>
      <c r="B68" s="244" t="str">
        <f>IF(A68=" "," ",VLOOKUP(A68,'3、期末成绩'!$A$2:$B$201,2,FALSE))</f>
        <v>李传奇</v>
      </c>
      <c r="C68" s="425">
        <f ca="1" t="shared" si="12"/>
        <v>90</v>
      </c>
      <c r="D68" s="425">
        <f ca="1" t="shared" si="13"/>
        <v>93</v>
      </c>
      <c r="E68" s="426"/>
      <c r="F68" s="427"/>
      <c r="G68" s="427"/>
      <c r="H68" s="424">
        <f ca="1">IF(A68=" "," ",SUMPRODUCT($C68:$G68,'1、课程目标与考核方式'!$C$13:$G$13)/100)</f>
        <v>24.66</v>
      </c>
      <c r="I68" s="424">
        <f ca="1">IF(A68=" "," ",ROUND(H68/SUM('1、课程目标与考核方式'!$C$13:$G$13)*'1、课程目标与考核方式'!$I$13,0))</f>
        <v>70</v>
      </c>
      <c r="J68" s="420">
        <f>IF(ISBLANK('3、期末成绩'!CO68)," ",'3、期末成绩'!CO68)</f>
        <v>95</v>
      </c>
      <c r="K68" s="420">
        <f ca="1">IF(ISBLANK('3、期末成绩'!CP68)," ",'3、期末成绩'!CP68)</f>
        <v>72</v>
      </c>
      <c r="L68" s="420">
        <f>IF(ISBLANK('3、期末成绩'!CE68)," ",'3、期末成绩'!CE68)</f>
        <v>66</v>
      </c>
      <c r="M68" s="420">
        <f>IF(ISBLANK('3、期末成绩'!CF68)," ",'3、期末成绩'!CF68)</f>
        <v>66</v>
      </c>
      <c r="N68" s="420">
        <f>IF(ISBLANK('3、期末成绩'!CG68)," ",'3、期末成绩'!CG68)</f>
        <v>66</v>
      </c>
      <c r="O68" s="420">
        <f>IF(ISBLANK('3、期末成绩'!CH68)," ",'3、期末成绩'!CH68)</f>
        <v>66</v>
      </c>
      <c r="P68" s="420">
        <f>IF(ISBLANK('3、期末成绩'!CI68)," ",'3、期末成绩'!CI68)</f>
        <v>66</v>
      </c>
      <c r="Q68" s="420">
        <f>IF(ISBLANK('3、期末成绩'!CJ68)," ",'3、期末成绩'!CJ68)</f>
        <v>66</v>
      </c>
      <c r="R68" s="420">
        <f>IF(ISBLANK('3、期末成绩'!CK68)," ",'3、期末成绩'!CK68)</f>
        <v>66</v>
      </c>
      <c r="S68" s="420">
        <f>IF(ISBLANK('3、期末成绩'!CL68)," ",'3、期末成绩'!CL68)</f>
        <v>66</v>
      </c>
      <c r="T68" s="420">
        <f>IF(ISBLANK('3、期末成绩'!CM68)," ",'3、期末成绩'!CM68)</f>
        <v>66</v>
      </c>
      <c r="U68" s="420">
        <f>IF(ISBLANK('3、期末成绩'!CN68)," ",'3、期末成绩'!CN68)</f>
        <v>66</v>
      </c>
      <c r="V68" s="420">
        <v>48</v>
      </c>
    </row>
    <row r="69" spans="1:22">
      <c r="A69" s="243" t="str">
        <f>IF(ISBLANK('3、期末成绩'!A69)," ",'3、期末成绩'!A69)</f>
        <v>1653233</v>
      </c>
      <c r="B69" s="244" t="str">
        <f>IF(A69=" "," ",VLOOKUP(A69,'3、期末成绩'!$A$2:$B$201,2,FALSE))</f>
        <v>庞伟雄</v>
      </c>
      <c r="C69" s="425">
        <f ca="1" t="shared" si="12"/>
        <v>79</v>
      </c>
      <c r="D69" s="425">
        <f ca="1" t="shared" si="13"/>
        <v>74</v>
      </c>
      <c r="E69" s="426"/>
      <c r="F69" s="427"/>
      <c r="G69" s="427"/>
      <c r="H69" s="424">
        <f ca="1">IF(A69=" "," ",SUMPRODUCT($C69:$G69,'1、课程目标与考核方式'!$C$13:$G$13)/100)</f>
        <v>20.73</v>
      </c>
      <c r="I69" s="424">
        <f ca="1">IF(A69=" "," ",ROUND(H69/SUM('1、课程目标与考核方式'!$C$13:$G$13)*'1、课程目标与考核方式'!$I$13,0))</f>
        <v>59</v>
      </c>
      <c r="J69" s="420">
        <f>IF(ISBLANK('3、期末成绩'!CO69)," ",'3、期末成绩'!CO69)</f>
        <v>95</v>
      </c>
      <c r="K69" s="420">
        <f ca="1">IF(ISBLANK('3、期末成绩'!CP69)," ",'3、期末成绩'!CP69)</f>
        <v>68</v>
      </c>
      <c r="L69" s="420">
        <f>IF(ISBLANK('3、期末成绩'!CE69)," ",'3、期末成绩'!CE69)</f>
        <v>67</v>
      </c>
      <c r="M69" s="420">
        <f>IF(ISBLANK('3、期末成绩'!CF69)," ",'3、期末成绩'!CF69)</f>
        <v>67</v>
      </c>
      <c r="N69" s="420">
        <f>IF(ISBLANK('3、期末成绩'!CG69)," ",'3、期末成绩'!CG69)</f>
        <v>67</v>
      </c>
      <c r="O69" s="420">
        <f>IF(ISBLANK('3、期末成绩'!CH69)," ",'3、期末成绩'!CH69)</f>
        <v>67</v>
      </c>
      <c r="P69" s="420">
        <f>IF(ISBLANK('3、期末成绩'!CI69)," ",'3、期末成绩'!CI69)</f>
        <v>67</v>
      </c>
      <c r="Q69" s="420">
        <f>IF(ISBLANK('3、期末成绩'!CJ69)," ",'3、期末成绩'!CJ69)</f>
        <v>67</v>
      </c>
      <c r="R69" s="420">
        <f>IF(ISBLANK('3、期末成绩'!CK69)," ",'3、期末成绩'!CK69)</f>
        <v>67</v>
      </c>
      <c r="S69" s="420">
        <f>IF(ISBLANK('3、期末成绩'!CL69)," ",'3、期末成绩'!CL69)</f>
        <v>67</v>
      </c>
      <c r="T69" s="420">
        <f>IF(ISBLANK('3、期末成绩'!CM69)," ",'3、期末成绩'!CM69)</f>
        <v>67</v>
      </c>
      <c r="U69" s="420">
        <f>IF(ISBLANK('3、期末成绩'!CN69)," ",'3、期末成绩'!CN69)</f>
        <v>67</v>
      </c>
      <c r="V69" s="420">
        <v>28</v>
      </c>
    </row>
    <row r="70" spans="1:22">
      <c r="A70" s="243" t="str">
        <f>IF(ISBLANK('3、期末成绩'!A70)," ",'3、期末成绩'!A70)</f>
        <v>1653235</v>
      </c>
      <c r="B70" s="244" t="str">
        <f>IF(A70=" "," ",VLOOKUP(A70,'3、期末成绩'!$A$2:$B$201,2,FALSE))</f>
        <v>潘文俊</v>
      </c>
      <c r="C70" s="425">
        <f ca="1" t="shared" si="12"/>
        <v>72</v>
      </c>
      <c r="D70" s="425">
        <f ca="1" t="shared" si="13"/>
        <v>95</v>
      </c>
      <c r="E70" s="426"/>
      <c r="F70" s="427"/>
      <c r="G70" s="427"/>
      <c r="H70" s="424">
        <f ca="1">IF(A70=" "," ",SUMPRODUCT($C70:$G70,'1、课程目标与考核方式'!$C$13:$G$13)/100)</f>
        <v>22.2</v>
      </c>
      <c r="I70" s="424">
        <f ca="1">IF(A70=" "," ",ROUND(H70/SUM('1、课程目标与考核方式'!$C$13:$G$13)*'1、课程目标与考核方式'!$I$13,0))</f>
        <v>63</v>
      </c>
      <c r="J70" s="420">
        <f>IF(ISBLANK('3、期末成绩'!CO70)," ",'3、期末成绩'!CO70)</f>
        <v>95</v>
      </c>
      <c r="K70" s="420">
        <f ca="1">IF(ISBLANK('3、期末成绩'!CP70)," ",'3、期末成绩'!CP70)</f>
        <v>70</v>
      </c>
      <c r="L70" s="420">
        <f>IF(ISBLANK('3、期末成绩'!CE70)," ",'3、期末成绩'!CE70)</f>
        <v>68</v>
      </c>
      <c r="M70" s="420">
        <f>IF(ISBLANK('3、期末成绩'!CF70)," ",'3、期末成绩'!CF70)</f>
        <v>68</v>
      </c>
      <c r="N70" s="420">
        <f>IF(ISBLANK('3、期末成绩'!CG70)," ",'3、期末成绩'!CG70)</f>
        <v>68</v>
      </c>
      <c r="O70" s="420">
        <f>IF(ISBLANK('3、期末成绩'!CH70)," ",'3、期末成绩'!CH70)</f>
        <v>68</v>
      </c>
      <c r="P70" s="420">
        <f>IF(ISBLANK('3、期末成绩'!CI70)," ",'3、期末成绩'!CI70)</f>
        <v>68</v>
      </c>
      <c r="Q70" s="420">
        <f>IF(ISBLANK('3、期末成绩'!CJ70)," ",'3、期末成绩'!CJ70)</f>
        <v>68</v>
      </c>
      <c r="R70" s="420">
        <f>IF(ISBLANK('3、期末成绩'!CK70)," ",'3、期末成绩'!CK70)</f>
        <v>68</v>
      </c>
      <c r="S70" s="420">
        <f>IF(ISBLANK('3、期末成绩'!CL70)," ",'3、期末成绩'!CL70)</f>
        <v>68</v>
      </c>
      <c r="T70" s="420">
        <f>IF(ISBLANK('3、期末成绩'!CM70)," ",'3、期末成绩'!CM70)</f>
        <v>68</v>
      </c>
      <c r="U70" s="420">
        <f>IF(ISBLANK('3、期末成绩'!CN70)," ",'3、期末成绩'!CN70)</f>
        <v>68</v>
      </c>
      <c r="V70" s="420">
        <v>43</v>
      </c>
    </row>
    <row r="71" spans="1:22">
      <c r="A71" s="243" t="str">
        <f>IF(ISBLANK('3、期末成绩'!A71)," ",'3、期末成绩'!A71)</f>
        <v>1653236</v>
      </c>
      <c r="B71" s="244" t="str">
        <f>IF(A71=" "," ",VLOOKUP(A71,'3、期末成绩'!$A$2:$B$201,2,FALSE))</f>
        <v>赵海旭</v>
      </c>
      <c r="C71" s="425">
        <f ca="1" t="shared" si="12"/>
        <v>98</v>
      </c>
      <c r="D71" s="425">
        <f ca="1" t="shared" si="13"/>
        <v>89</v>
      </c>
      <c r="E71" s="426"/>
      <c r="F71" s="427"/>
      <c r="G71" s="427"/>
      <c r="H71" s="424">
        <f ca="1">IF(A71=" "," ",SUMPRODUCT($C71:$G71,'1、课程目标与考核方式'!$C$13:$G$13)/100)</f>
        <v>25.38</v>
      </c>
      <c r="I71" s="424">
        <f ca="1">IF(A71=" "," ",ROUND(H71/SUM('1、课程目标与考核方式'!$C$13:$G$13)*'1、课程目标与考核方式'!$I$13,0))</f>
        <v>72</v>
      </c>
      <c r="J71" s="420">
        <f>IF(ISBLANK('3、期末成绩'!CO71)," ",'3、期末成绩'!CO71)</f>
        <v>95</v>
      </c>
      <c r="K71" s="420">
        <f ca="1">IF(ISBLANK('3、期末成绩'!CP71)," ",'3、期末成绩'!CP71)</f>
        <v>73</v>
      </c>
      <c r="L71" s="420">
        <f>IF(ISBLANK('3、期末成绩'!CE71)," ",'3、期末成绩'!CE71)</f>
        <v>69</v>
      </c>
      <c r="M71" s="420">
        <f>IF(ISBLANK('3、期末成绩'!CF71)," ",'3、期末成绩'!CF71)</f>
        <v>69</v>
      </c>
      <c r="N71" s="420">
        <f>IF(ISBLANK('3、期末成绩'!CG71)," ",'3、期末成绩'!CG71)</f>
        <v>69</v>
      </c>
      <c r="O71" s="420">
        <f>IF(ISBLANK('3、期末成绩'!CH71)," ",'3、期末成绩'!CH71)</f>
        <v>69</v>
      </c>
      <c r="P71" s="420">
        <f>IF(ISBLANK('3、期末成绩'!CI71)," ",'3、期末成绩'!CI71)</f>
        <v>69</v>
      </c>
      <c r="Q71" s="420">
        <f>IF(ISBLANK('3、期末成绩'!CJ71)," ",'3、期末成绩'!CJ71)</f>
        <v>69</v>
      </c>
      <c r="R71" s="420">
        <f>IF(ISBLANK('3、期末成绩'!CK71)," ",'3、期末成绩'!CK71)</f>
        <v>69</v>
      </c>
      <c r="S71" s="420">
        <f>IF(ISBLANK('3、期末成绩'!CL71)," ",'3、期末成绩'!CL71)</f>
        <v>69</v>
      </c>
      <c r="T71" s="420">
        <f>IF(ISBLANK('3、期末成绩'!CM71)," ",'3、期末成绩'!CM71)</f>
        <v>69</v>
      </c>
      <c r="U71" s="420">
        <f>IF(ISBLANK('3、期末成绩'!CN71)," ",'3、期末成绩'!CN71)</f>
        <v>69</v>
      </c>
      <c r="V71" s="420">
        <v>31</v>
      </c>
    </row>
    <row r="72" spans="1:22">
      <c r="A72" s="243" t="str">
        <f>IF(ISBLANK('3、期末成绩'!A72)," ",'3、期末成绩'!A72)</f>
        <v> </v>
      </c>
      <c r="B72" s="244" t="str">
        <f>IF(A72=" "," ",VLOOKUP(A72,'3、期末成绩'!$A$2:$B$201,2,FALSE))</f>
        <v> </v>
      </c>
      <c r="C72" s="426"/>
      <c r="D72" s="426"/>
      <c r="E72" s="426"/>
      <c r="F72" s="427"/>
      <c r="G72" s="427"/>
      <c r="H72" s="424" t="str">
        <f>IF(A72=" "," ",SUMPRODUCT($C72:$G72,'1、课程目标与考核方式'!$C$13:$G$13)/100)</f>
        <v> </v>
      </c>
      <c r="I72" s="424" t="str">
        <f>IF(A72=" "," ",ROUND(H72/SUM('1、课程目标与考核方式'!$C$13:$G$13)*'1、课程目标与考核方式'!$I$13,0))</f>
        <v> </v>
      </c>
      <c r="J72" s="420">
        <f>IF(ISBLANK('3、期末成绩'!CO72)," ",'3、期末成绩'!CO72)</f>
        <v>0</v>
      </c>
      <c r="K72" s="420">
        <f ca="1">IF(ISBLANK('3、期末成绩'!CP72)," ",'3、期末成绩'!CP72)</f>
        <v>0</v>
      </c>
      <c r="L72" s="420">
        <f>IF(ISBLANK('3、期末成绩'!CE72)," ",'3、期末成绩'!CE72)</f>
        <v>0</v>
      </c>
      <c r="M72" s="420">
        <f>IF(ISBLANK('3、期末成绩'!CF72)," ",'3、期末成绩'!CF72)</f>
        <v>0</v>
      </c>
      <c r="N72" s="420">
        <f>IF(ISBLANK('3、期末成绩'!CG72)," ",'3、期末成绩'!CG72)</f>
        <v>0</v>
      </c>
      <c r="O72" s="420">
        <f>IF(ISBLANK('3、期末成绩'!CH72)," ",'3、期末成绩'!CH72)</f>
        <v>0</v>
      </c>
      <c r="P72" s="420">
        <f>IF(ISBLANK('3、期末成绩'!CI72)," ",'3、期末成绩'!CI72)</f>
        <v>0</v>
      </c>
      <c r="Q72" s="420">
        <f>IF(ISBLANK('3、期末成绩'!CJ72)," ",'3、期末成绩'!CJ72)</f>
        <v>0</v>
      </c>
      <c r="R72" s="420">
        <f>IF(ISBLANK('3、期末成绩'!CK72)," ",'3、期末成绩'!CK72)</f>
        <v>0</v>
      </c>
      <c r="S72" s="420">
        <f>IF(ISBLANK('3、期末成绩'!CL72)," ",'3、期末成绩'!CL72)</f>
        <v>0</v>
      </c>
      <c r="T72" s="420">
        <f>IF(ISBLANK('3、期末成绩'!CM72)," ",'3、期末成绩'!CM72)</f>
        <v>0</v>
      </c>
      <c r="U72" s="420">
        <f>IF(ISBLANK('3、期末成绩'!CN72)," ",'3、期末成绩'!CN72)</f>
        <v>0</v>
      </c>
      <c r="V72" s="420">
        <v>62</v>
      </c>
    </row>
    <row r="73" spans="1:22">
      <c r="A73" s="243" t="str">
        <f>IF(ISBLANK('3、期末成绩'!A73)," ",'3、期末成绩'!A73)</f>
        <v> </v>
      </c>
      <c r="B73" s="244" t="str">
        <f>IF(A73=" "," ",VLOOKUP(A73,'3、期末成绩'!$A$2:$B$201,2,FALSE))</f>
        <v> </v>
      </c>
      <c r="C73" s="426"/>
      <c r="D73" s="426"/>
      <c r="E73" s="426"/>
      <c r="F73" s="427"/>
      <c r="G73" s="427"/>
      <c r="H73" s="424" t="str">
        <f>IF(A73=" "," ",SUMPRODUCT($C73:$G73,'1、课程目标与考核方式'!$C$13:$G$13)/100)</f>
        <v> </v>
      </c>
      <c r="I73" s="424" t="str">
        <f>IF(A73=" "," ",ROUND(H73/SUM('1、课程目标与考核方式'!$C$13:$G$13)*'1、课程目标与考核方式'!$I$13,0))</f>
        <v> </v>
      </c>
      <c r="J73" s="420">
        <f>IF(ISBLANK('3、期末成绩'!CO73)," ",'3、期末成绩'!CO73)</f>
        <v>0</v>
      </c>
      <c r="K73" s="420">
        <f ca="1">IF(ISBLANK('3、期末成绩'!CP73)," ",'3、期末成绩'!CP73)</f>
        <v>0</v>
      </c>
      <c r="L73" s="420">
        <f>IF(ISBLANK('3、期末成绩'!CE73)," ",'3、期末成绩'!CE73)</f>
        <v>0</v>
      </c>
      <c r="M73" s="420">
        <f>IF(ISBLANK('3、期末成绩'!CF73)," ",'3、期末成绩'!CF73)</f>
        <v>0</v>
      </c>
      <c r="N73" s="420">
        <f>IF(ISBLANK('3、期末成绩'!CG73)," ",'3、期末成绩'!CG73)</f>
        <v>0</v>
      </c>
      <c r="O73" s="420">
        <f>IF(ISBLANK('3、期末成绩'!CH73)," ",'3、期末成绩'!CH73)</f>
        <v>0</v>
      </c>
      <c r="P73" s="420">
        <f>IF(ISBLANK('3、期末成绩'!CI73)," ",'3、期末成绩'!CI73)</f>
        <v>0</v>
      </c>
      <c r="Q73" s="420">
        <f>IF(ISBLANK('3、期末成绩'!CJ73)," ",'3、期末成绩'!CJ73)</f>
        <v>0</v>
      </c>
      <c r="R73" s="420">
        <f>IF(ISBLANK('3、期末成绩'!CK73)," ",'3、期末成绩'!CK73)</f>
        <v>0</v>
      </c>
      <c r="S73" s="420">
        <f>IF(ISBLANK('3、期末成绩'!CL73)," ",'3、期末成绩'!CL73)</f>
        <v>0</v>
      </c>
      <c r="T73" s="420">
        <f>IF(ISBLANK('3、期末成绩'!CM73)," ",'3、期末成绩'!CM73)</f>
        <v>0</v>
      </c>
      <c r="U73" s="420">
        <f>IF(ISBLANK('3、期末成绩'!CN73)," ",'3、期末成绩'!CN73)</f>
        <v>0</v>
      </c>
      <c r="V73" s="420">
        <v>54</v>
      </c>
    </row>
    <row r="74" spans="1:22">
      <c r="A74" s="243" t="str">
        <f>IF(ISBLANK('3、期末成绩'!A74)," ",'3、期末成绩'!A74)</f>
        <v> </v>
      </c>
      <c r="B74" s="244" t="str">
        <f>IF(A74=" "," ",VLOOKUP(A74,'3、期末成绩'!$A$2:$B$201,2,FALSE))</f>
        <v> </v>
      </c>
      <c r="C74" s="426"/>
      <c r="D74" s="426"/>
      <c r="E74" s="426"/>
      <c r="F74" s="427"/>
      <c r="G74" s="427"/>
      <c r="H74" s="424" t="str">
        <f>IF(A74=" "," ",SUMPRODUCT($C74:$G74,'1、课程目标与考核方式'!$C$13:$G$13)/100)</f>
        <v> </v>
      </c>
      <c r="I74" s="424" t="str">
        <f>IF(A74=" "," ",ROUND(H74/SUM('1、课程目标与考核方式'!$C$13:$G$13)*'1、课程目标与考核方式'!$I$13,0))</f>
        <v> </v>
      </c>
      <c r="J74" s="420">
        <f>IF(ISBLANK('3、期末成绩'!CO74)," ",'3、期末成绩'!CO74)</f>
        <v>0</v>
      </c>
      <c r="K74" s="420">
        <f ca="1">IF(ISBLANK('3、期末成绩'!CP74)," ",'3、期末成绩'!CP74)</f>
        <v>0</v>
      </c>
      <c r="L74" s="420">
        <f>IF(ISBLANK('3、期末成绩'!CE74)," ",'3、期末成绩'!CE74)</f>
        <v>0</v>
      </c>
      <c r="M74" s="420">
        <f>IF(ISBLANK('3、期末成绩'!CF74)," ",'3、期末成绩'!CF74)</f>
        <v>0</v>
      </c>
      <c r="N74" s="420">
        <f>IF(ISBLANK('3、期末成绩'!CG74)," ",'3、期末成绩'!CG74)</f>
        <v>0</v>
      </c>
      <c r="O74" s="420">
        <f>IF(ISBLANK('3、期末成绩'!CH74)," ",'3、期末成绩'!CH74)</f>
        <v>0</v>
      </c>
      <c r="P74" s="420">
        <f>IF(ISBLANK('3、期末成绩'!CI74)," ",'3、期末成绩'!CI74)</f>
        <v>0</v>
      </c>
      <c r="Q74" s="420">
        <f>IF(ISBLANK('3、期末成绩'!CJ74)," ",'3、期末成绩'!CJ74)</f>
        <v>0</v>
      </c>
      <c r="R74" s="420">
        <f>IF(ISBLANK('3、期末成绩'!CK74)," ",'3、期末成绩'!CK74)</f>
        <v>0</v>
      </c>
      <c r="S74" s="420">
        <f>IF(ISBLANK('3、期末成绩'!CL74)," ",'3、期末成绩'!CL74)</f>
        <v>0</v>
      </c>
      <c r="T74" s="420">
        <f>IF(ISBLANK('3、期末成绩'!CM74)," ",'3、期末成绩'!CM74)</f>
        <v>0</v>
      </c>
      <c r="U74" s="420">
        <f>IF(ISBLANK('3、期末成绩'!CN74)," ",'3、期末成绩'!CN74)</f>
        <v>0</v>
      </c>
      <c r="V74" s="420">
        <v>38</v>
      </c>
    </row>
    <row r="75" spans="1:22">
      <c r="A75" s="243" t="str">
        <f>IF(ISBLANK('3、期末成绩'!A75)," ",'3、期末成绩'!A75)</f>
        <v> </v>
      </c>
      <c r="B75" s="244" t="str">
        <f>IF(A75=" "," ",VLOOKUP(A75,'3、期末成绩'!$A$2:$B$201,2,FALSE))</f>
        <v> </v>
      </c>
      <c r="C75" s="426"/>
      <c r="D75" s="426"/>
      <c r="E75" s="426"/>
      <c r="F75" s="427"/>
      <c r="G75" s="427"/>
      <c r="H75" s="424" t="str">
        <f>IF(A75=" "," ",SUMPRODUCT($C75:$G75,'1、课程目标与考核方式'!$C$13:$G$13)/100)</f>
        <v> </v>
      </c>
      <c r="I75" s="424" t="str">
        <f>IF(A75=" "," ",ROUND(H75/SUM('1、课程目标与考核方式'!$C$13:$G$13)*'1、课程目标与考核方式'!$I$13,0))</f>
        <v> </v>
      </c>
      <c r="J75" s="420">
        <f>IF(ISBLANK('3、期末成绩'!CO75)," ",'3、期末成绩'!CO75)</f>
        <v>0</v>
      </c>
      <c r="K75" s="420">
        <f ca="1">IF(ISBLANK('3、期末成绩'!CP75)," ",'3、期末成绩'!CP75)</f>
        <v>0</v>
      </c>
      <c r="L75" s="420">
        <f>IF(ISBLANK('3、期末成绩'!CE75)," ",'3、期末成绩'!CE75)</f>
        <v>0</v>
      </c>
      <c r="M75" s="420">
        <f>IF(ISBLANK('3、期末成绩'!CF75)," ",'3、期末成绩'!CF75)</f>
        <v>0</v>
      </c>
      <c r="N75" s="420">
        <f>IF(ISBLANK('3、期末成绩'!CG75)," ",'3、期末成绩'!CG75)</f>
        <v>0</v>
      </c>
      <c r="O75" s="420">
        <f>IF(ISBLANK('3、期末成绩'!CH75)," ",'3、期末成绩'!CH75)</f>
        <v>0</v>
      </c>
      <c r="P75" s="420">
        <f>IF(ISBLANK('3、期末成绩'!CI75)," ",'3、期末成绩'!CI75)</f>
        <v>0</v>
      </c>
      <c r="Q75" s="420">
        <f>IF(ISBLANK('3、期末成绩'!CJ75)," ",'3、期末成绩'!CJ75)</f>
        <v>0</v>
      </c>
      <c r="R75" s="420">
        <f>IF(ISBLANK('3、期末成绩'!CK75)," ",'3、期末成绩'!CK75)</f>
        <v>0</v>
      </c>
      <c r="S75" s="420">
        <f>IF(ISBLANK('3、期末成绩'!CL75)," ",'3、期末成绩'!CL75)</f>
        <v>0</v>
      </c>
      <c r="T75" s="420">
        <f>IF(ISBLANK('3、期末成绩'!CM75)," ",'3、期末成绩'!CM75)</f>
        <v>0</v>
      </c>
      <c r="U75" s="420">
        <f>IF(ISBLANK('3、期末成绩'!CN75)," ",'3、期末成绩'!CN75)</f>
        <v>0</v>
      </c>
      <c r="V75" s="420">
        <v>60</v>
      </c>
    </row>
    <row r="76" spans="1:22">
      <c r="A76" s="243" t="str">
        <f>IF(ISBLANK('3、期末成绩'!A76)," ",'3、期末成绩'!A76)</f>
        <v> </v>
      </c>
      <c r="B76" s="244" t="str">
        <f>IF(A76=" "," ",VLOOKUP(A76,'3、期末成绩'!$A$2:$B$201,2,FALSE))</f>
        <v> </v>
      </c>
      <c r="C76" s="426"/>
      <c r="D76" s="426"/>
      <c r="E76" s="426"/>
      <c r="F76" s="427"/>
      <c r="G76" s="427"/>
      <c r="H76" s="424" t="str">
        <f>IF(A76=" "," ",SUMPRODUCT($C76:$G76,'1、课程目标与考核方式'!$C$13:$G$13)/100)</f>
        <v> </v>
      </c>
      <c r="I76" s="424" t="str">
        <f>IF(A76=" "," ",ROUND(H76/SUM('1、课程目标与考核方式'!$C$13:$G$13)*'1、课程目标与考核方式'!$I$13,0))</f>
        <v> </v>
      </c>
      <c r="J76" s="420">
        <f>IF(ISBLANK('3、期末成绩'!CO76)," ",'3、期末成绩'!CO76)</f>
        <v>0</v>
      </c>
      <c r="K76" s="420">
        <f ca="1">IF(ISBLANK('3、期末成绩'!CP76)," ",'3、期末成绩'!CP76)</f>
        <v>0</v>
      </c>
      <c r="L76" s="420">
        <f>IF(ISBLANK('3、期末成绩'!CE76)," ",'3、期末成绩'!CE76)</f>
        <v>0</v>
      </c>
      <c r="M76" s="420">
        <f>IF(ISBLANK('3、期末成绩'!CF76)," ",'3、期末成绩'!CF76)</f>
        <v>0</v>
      </c>
      <c r="N76" s="420">
        <f>IF(ISBLANK('3、期末成绩'!CG76)," ",'3、期末成绩'!CG76)</f>
        <v>0</v>
      </c>
      <c r="O76" s="420">
        <f>IF(ISBLANK('3、期末成绩'!CH76)," ",'3、期末成绩'!CH76)</f>
        <v>0</v>
      </c>
      <c r="P76" s="420">
        <f>IF(ISBLANK('3、期末成绩'!CI76)," ",'3、期末成绩'!CI76)</f>
        <v>0</v>
      </c>
      <c r="Q76" s="420">
        <f>IF(ISBLANK('3、期末成绩'!CJ76)," ",'3、期末成绩'!CJ76)</f>
        <v>0</v>
      </c>
      <c r="R76" s="420">
        <f>IF(ISBLANK('3、期末成绩'!CK76)," ",'3、期末成绩'!CK76)</f>
        <v>0</v>
      </c>
      <c r="S76" s="420">
        <f>IF(ISBLANK('3、期末成绩'!CL76)," ",'3、期末成绩'!CL76)</f>
        <v>0</v>
      </c>
      <c r="T76" s="420">
        <f>IF(ISBLANK('3、期末成绩'!CM76)," ",'3、期末成绩'!CM76)</f>
        <v>0</v>
      </c>
      <c r="U76" s="420">
        <f>IF(ISBLANK('3、期末成绩'!CN76)," ",'3、期末成绩'!CN76)</f>
        <v>0</v>
      </c>
      <c r="V76" s="420">
        <v>42</v>
      </c>
    </row>
    <row r="77" spans="1:22">
      <c r="A77" s="243" t="str">
        <f>IF(ISBLANK('3、期末成绩'!A77)," ",'3、期末成绩'!A77)</f>
        <v> </v>
      </c>
      <c r="B77" s="244" t="str">
        <f>IF(A77=" "," ",VLOOKUP(A77,'3、期末成绩'!$A$2:$B$201,2,FALSE))</f>
        <v> </v>
      </c>
      <c r="C77" s="426"/>
      <c r="D77" s="426"/>
      <c r="E77" s="426"/>
      <c r="F77" s="427"/>
      <c r="G77" s="427"/>
      <c r="H77" s="424" t="str">
        <f>IF(A77=" "," ",SUMPRODUCT($C77:$G77,'1、课程目标与考核方式'!$C$13:$G$13)/100)</f>
        <v> </v>
      </c>
      <c r="I77" s="424" t="str">
        <f>IF(A77=" "," ",ROUND(H77/SUM('1、课程目标与考核方式'!$C$13:$G$13)*'1、课程目标与考核方式'!$I$13,0))</f>
        <v> </v>
      </c>
      <c r="J77" s="420">
        <f>IF(ISBLANK('3、期末成绩'!CO77)," ",'3、期末成绩'!CO77)</f>
        <v>0</v>
      </c>
      <c r="K77" s="420">
        <f ca="1">IF(ISBLANK('3、期末成绩'!CP77)," ",'3、期末成绩'!CP77)</f>
        <v>0</v>
      </c>
      <c r="L77" s="420">
        <f>IF(ISBLANK('3、期末成绩'!CE77)," ",'3、期末成绩'!CE77)</f>
        <v>0</v>
      </c>
      <c r="M77" s="420">
        <f>IF(ISBLANK('3、期末成绩'!CF77)," ",'3、期末成绩'!CF77)</f>
        <v>0</v>
      </c>
      <c r="N77" s="420">
        <f>IF(ISBLANK('3、期末成绩'!CG77)," ",'3、期末成绩'!CG77)</f>
        <v>0</v>
      </c>
      <c r="O77" s="420">
        <f>IF(ISBLANK('3、期末成绩'!CH77)," ",'3、期末成绩'!CH77)</f>
        <v>0</v>
      </c>
      <c r="P77" s="420">
        <f>IF(ISBLANK('3、期末成绩'!CI77)," ",'3、期末成绩'!CI77)</f>
        <v>0</v>
      </c>
      <c r="Q77" s="420">
        <f>IF(ISBLANK('3、期末成绩'!CJ77)," ",'3、期末成绩'!CJ77)</f>
        <v>0</v>
      </c>
      <c r="R77" s="420">
        <f>IF(ISBLANK('3、期末成绩'!CK77)," ",'3、期末成绩'!CK77)</f>
        <v>0</v>
      </c>
      <c r="S77" s="420">
        <f>IF(ISBLANK('3、期末成绩'!CL77)," ",'3、期末成绩'!CL77)</f>
        <v>0</v>
      </c>
      <c r="T77" s="420">
        <f>IF(ISBLANK('3、期末成绩'!CM77)," ",'3、期末成绩'!CM77)</f>
        <v>0</v>
      </c>
      <c r="U77" s="420">
        <f>IF(ISBLANK('3、期末成绩'!CN77)," ",'3、期末成绩'!CN77)</f>
        <v>0</v>
      </c>
      <c r="V77" s="420">
        <v>70</v>
      </c>
    </row>
    <row r="78" spans="1:22">
      <c r="A78" s="243" t="str">
        <f>IF(ISBLANK('3、期末成绩'!A78)," ",'3、期末成绩'!A78)</f>
        <v> </v>
      </c>
      <c r="B78" s="244" t="str">
        <f>IF(A78=" "," ",VLOOKUP(A78,'3、期末成绩'!$A$2:$B$201,2,FALSE))</f>
        <v> </v>
      </c>
      <c r="C78" s="426"/>
      <c r="D78" s="426"/>
      <c r="E78" s="426"/>
      <c r="F78" s="427"/>
      <c r="G78" s="427"/>
      <c r="H78" s="424" t="str">
        <f>IF(A78=" "," ",SUMPRODUCT($C78:$G78,'1、课程目标与考核方式'!$C$13:$G$13)/100)</f>
        <v> </v>
      </c>
      <c r="I78" s="424" t="str">
        <f>IF(A78=" "," ",ROUND(H78/SUM('1、课程目标与考核方式'!$C$13:$G$13)*'1、课程目标与考核方式'!$I$13,0))</f>
        <v> </v>
      </c>
      <c r="J78" s="420">
        <f>IF(ISBLANK('3、期末成绩'!CO78)," ",'3、期末成绩'!CO78)</f>
        <v>0</v>
      </c>
      <c r="K78" s="420">
        <f ca="1">IF(ISBLANK('3、期末成绩'!CP78)," ",'3、期末成绩'!CP78)</f>
        <v>0</v>
      </c>
      <c r="L78" s="420">
        <f>IF(ISBLANK('3、期末成绩'!CE78)," ",'3、期末成绩'!CE78)</f>
        <v>0</v>
      </c>
      <c r="M78" s="420">
        <f>IF(ISBLANK('3、期末成绩'!CF78)," ",'3、期末成绩'!CF78)</f>
        <v>0</v>
      </c>
      <c r="N78" s="420">
        <f>IF(ISBLANK('3、期末成绩'!CG78)," ",'3、期末成绩'!CG78)</f>
        <v>0</v>
      </c>
      <c r="O78" s="420">
        <f>IF(ISBLANK('3、期末成绩'!CH78)," ",'3、期末成绩'!CH78)</f>
        <v>0</v>
      </c>
      <c r="P78" s="420">
        <f>IF(ISBLANK('3、期末成绩'!CI78)," ",'3、期末成绩'!CI78)</f>
        <v>0</v>
      </c>
      <c r="Q78" s="420">
        <f>IF(ISBLANK('3、期末成绩'!CJ78)," ",'3、期末成绩'!CJ78)</f>
        <v>0</v>
      </c>
      <c r="R78" s="420">
        <f>IF(ISBLANK('3、期末成绩'!CK78)," ",'3、期末成绩'!CK78)</f>
        <v>0</v>
      </c>
      <c r="S78" s="420">
        <f>IF(ISBLANK('3、期末成绩'!CL78)," ",'3、期末成绩'!CL78)</f>
        <v>0</v>
      </c>
      <c r="T78" s="420">
        <f>IF(ISBLANK('3、期末成绩'!CM78)," ",'3、期末成绩'!CM78)</f>
        <v>0</v>
      </c>
      <c r="U78" s="420">
        <f>IF(ISBLANK('3、期末成绩'!CN78)," ",'3、期末成绩'!CN78)</f>
        <v>0</v>
      </c>
      <c r="V78" s="420">
        <v>63</v>
      </c>
    </row>
    <row r="79" spans="1:22">
      <c r="A79" s="243" t="str">
        <f>IF(ISBLANK('3、期末成绩'!A79)," ",'3、期末成绩'!A79)</f>
        <v> </v>
      </c>
      <c r="B79" s="244" t="str">
        <f>IF(A79=" "," ",VLOOKUP(A79,'3、期末成绩'!$A$2:$B$201,2,FALSE))</f>
        <v> </v>
      </c>
      <c r="C79" s="426"/>
      <c r="D79" s="426"/>
      <c r="E79" s="426"/>
      <c r="F79" s="427"/>
      <c r="G79" s="427"/>
      <c r="H79" s="424" t="str">
        <f>IF(A79=" "," ",SUMPRODUCT($C79:$G79,'1、课程目标与考核方式'!$C$13:$G$13)/100)</f>
        <v> </v>
      </c>
      <c r="I79" s="424" t="str">
        <f>IF(A79=" "," ",ROUND(H79/SUM('1、课程目标与考核方式'!$C$13:$G$13)*'1、课程目标与考核方式'!$I$13,0))</f>
        <v> </v>
      </c>
      <c r="J79" s="420">
        <f>IF(ISBLANK('3、期末成绩'!CO79)," ",'3、期末成绩'!CO79)</f>
        <v>0</v>
      </c>
      <c r="K79" s="420">
        <f ca="1">IF(ISBLANK('3、期末成绩'!CP79)," ",'3、期末成绩'!CP79)</f>
        <v>0</v>
      </c>
      <c r="L79" s="420">
        <f>IF(ISBLANK('3、期末成绩'!CE79)," ",'3、期末成绩'!CE79)</f>
        <v>0</v>
      </c>
      <c r="M79" s="420">
        <f>IF(ISBLANK('3、期末成绩'!CF79)," ",'3、期末成绩'!CF79)</f>
        <v>0</v>
      </c>
      <c r="N79" s="420">
        <f>IF(ISBLANK('3、期末成绩'!CG79)," ",'3、期末成绩'!CG79)</f>
        <v>0</v>
      </c>
      <c r="O79" s="420">
        <f>IF(ISBLANK('3、期末成绩'!CH79)," ",'3、期末成绩'!CH79)</f>
        <v>0</v>
      </c>
      <c r="P79" s="420">
        <f>IF(ISBLANK('3、期末成绩'!CI79)," ",'3、期末成绩'!CI79)</f>
        <v>0</v>
      </c>
      <c r="Q79" s="420">
        <f>IF(ISBLANK('3、期末成绩'!CJ79)," ",'3、期末成绩'!CJ79)</f>
        <v>0</v>
      </c>
      <c r="R79" s="420">
        <f>IF(ISBLANK('3、期末成绩'!CK79)," ",'3、期末成绩'!CK79)</f>
        <v>0</v>
      </c>
      <c r="S79" s="420">
        <f>IF(ISBLANK('3、期末成绩'!CL79)," ",'3、期末成绩'!CL79)</f>
        <v>0</v>
      </c>
      <c r="T79" s="420">
        <f>IF(ISBLANK('3、期末成绩'!CM79)," ",'3、期末成绩'!CM79)</f>
        <v>0</v>
      </c>
      <c r="U79" s="420">
        <f>IF(ISBLANK('3、期末成绩'!CN79)," ",'3、期末成绩'!CN79)</f>
        <v>0</v>
      </c>
      <c r="V79" s="420">
        <v>0</v>
      </c>
    </row>
    <row r="80" spans="1:22">
      <c r="A80" s="243" t="str">
        <f>IF(ISBLANK('3、期末成绩'!A80)," ",'3、期末成绩'!A80)</f>
        <v> </v>
      </c>
      <c r="B80" s="244" t="str">
        <f>IF(A80=" "," ",VLOOKUP(A80,'3、期末成绩'!$A$2:$B$201,2,FALSE))</f>
        <v> </v>
      </c>
      <c r="C80" s="426"/>
      <c r="D80" s="426"/>
      <c r="E80" s="426"/>
      <c r="F80" s="427"/>
      <c r="G80" s="427"/>
      <c r="H80" s="424" t="str">
        <f>IF(A80=" "," ",SUMPRODUCT($C80:$G80,'1、课程目标与考核方式'!$C$13:$G$13)/100)</f>
        <v> </v>
      </c>
      <c r="I80" s="424" t="str">
        <f>IF(A80=" "," ",ROUND(H80/SUM('1、课程目标与考核方式'!$C$13:$G$13)*'1、课程目标与考核方式'!$I$13,0))</f>
        <v> </v>
      </c>
      <c r="J80" s="420">
        <f>IF(ISBLANK('3、期末成绩'!CO80)," ",'3、期末成绩'!CO80)</f>
        <v>0</v>
      </c>
      <c r="K80" s="420">
        <f ca="1">IF(ISBLANK('3、期末成绩'!CP80)," ",'3、期末成绩'!CP80)</f>
        <v>0</v>
      </c>
      <c r="L80" s="420">
        <f>IF(ISBLANK('3、期末成绩'!CE80)," ",'3、期末成绩'!CE80)</f>
        <v>0</v>
      </c>
      <c r="M80" s="420">
        <f>IF(ISBLANK('3、期末成绩'!CF80)," ",'3、期末成绩'!CF80)</f>
        <v>0</v>
      </c>
      <c r="N80" s="420">
        <f>IF(ISBLANK('3、期末成绩'!CG80)," ",'3、期末成绩'!CG80)</f>
        <v>0</v>
      </c>
      <c r="O80" s="420">
        <f>IF(ISBLANK('3、期末成绩'!CH80)," ",'3、期末成绩'!CH80)</f>
        <v>0</v>
      </c>
      <c r="P80" s="420">
        <f>IF(ISBLANK('3、期末成绩'!CI80)," ",'3、期末成绩'!CI80)</f>
        <v>0</v>
      </c>
      <c r="Q80" s="420">
        <f>IF(ISBLANK('3、期末成绩'!CJ80)," ",'3、期末成绩'!CJ80)</f>
        <v>0</v>
      </c>
      <c r="R80" s="420">
        <f>IF(ISBLANK('3、期末成绩'!CK80)," ",'3、期末成绩'!CK80)</f>
        <v>0</v>
      </c>
      <c r="S80" s="420">
        <f>IF(ISBLANK('3、期末成绩'!CL80)," ",'3、期末成绩'!CL80)</f>
        <v>0</v>
      </c>
      <c r="T80" s="420">
        <f>IF(ISBLANK('3、期末成绩'!CM80)," ",'3、期末成绩'!CM80)</f>
        <v>0</v>
      </c>
      <c r="U80" s="420">
        <f>IF(ISBLANK('3、期末成绩'!CN80)," ",'3、期末成绩'!CN80)</f>
        <v>0</v>
      </c>
      <c r="V80" s="420">
        <v>72</v>
      </c>
    </row>
    <row r="81" spans="1:22">
      <c r="A81" s="243" t="str">
        <f>IF(ISBLANK('3、期末成绩'!A81)," ",'3、期末成绩'!A81)</f>
        <v> </v>
      </c>
      <c r="B81" s="244" t="str">
        <f>IF(A81=" "," ",VLOOKUP(A81,'3、期末成绩'!$A$2:$B$201,2,FALSE))</f>
        <v> </v>
      </c>
      <c r="C81" s="426"/>
      <c r="D81" s="426"/>
      <c r="E81" s="426"/>
      <c r="F81" s="427"/>
      <c r="G81" s="427"/>
      <c r="H81" s="424" t="str">
        <f>IF(A81=" "," ",SUMPRODUCT($C81:$G81,'1、课程目标与考核方式'!$C$13:$G$13)/100)</f>
        <v> </v>
      </c>
      <c r="I81" s="424" t="str">
        <f>IF(A81=" "," ",ROUND(H81/SUM('1、课程目标与考核方式'!$C$13:$G$13)*'1、课程目标与考核方式'!$I$13,0))</f>
        <v> </v>
      </c>
      <c r="J81" s="420">
        <f>IF(ISBLANK('3、期末成绩'!CO81)," ",'3、期末成绩'!CO81)</f>
        <v>0</v>
      </c>
      <c r="K81" s="420">
        <f ca="1">IF(ISBLANK('3、期末成绩'!CP81)," ",'3、期末成绩'!CP81)</f>
        <v>0</v>
      </c>
      <c r="L81" s="420">
        <f>IF(ISBLANK('3、期末成绩'!CE81)," ",'3、期末成绩'!CE81)</f>
        <v>0</v>
      </c>
      <c r="M81" s="420">
        <f>IF(ISBLANK('3、期末成绩'!CF81)," ",'3、期末成绩'!CF81)</f>
        <v>0</v>
      </c>
      <c r="N81" s="420">
        <f>IF(ISBLANK('3、期末成绩'!CG81)," ",'3、期末成绩'!CG81)</f>
        <v>0</v>
      </c>
      <c r="O81" s="420">
        <f>IF(ISBLANK('3、期末成绩'!CH81)," ",'3、期末成绩'!CH81)</f>
        <v>0</v>
      </c>
      <c r="P81" s="420">
        <f>IF(ISBLANK('3、期末成绩'!CI81)," ",'3、期末成绩'!CI81)</f>
        <v>0</v>
      </c>
      <c r="Q81" s="420">
        <f>IF(ISBLANK('3、期末成绩'!CJ81)," ",'3、期末成绩'!CJ81)</f>
        <v>0</v>
      </c>
      <c r="R81" s="420">
        <f>IF(ISBLANK('3、期末成绩'!CK81)," ",'3、期末成绩'!CK81)</f>
        <v>0</v>
      </c>
      <c r="S81" s="420">
        <f>IF(ISBLANK('3、期末成绩'!CL81)," ",'3、期末成绩'!CL81)</f>
        <v>0</v>
      </c>
      <c r="T81" s="420">
        <f>IF(ISBLANK('3、期末成绩'!CM81)," ",'3、期末成绩'!CM81)</f>
        <v>0</v>
      </c>
      <c r="U81" s="420">
        <f>IF(ISBLANK('3、期末成绩'!CN81)," ",'3、期末成绩'!CN81)</f>
        <v>0</v>
      </c>
      <c r="V81" s="420">
        <v>39</v>
      </c>
    </row>
    <row r="82" spans="1:22">
      <c r="A82" s="243" t="str">
        <f>IF(ISBLANK('3、期末成绩'!A82)," ",'3、期末成绩'!A82)</f>
        <v> </v>
      </c>
      <c r="B82" s="244" t="str">
        <f>IF(A82=" "," ",VLOOKUP(A82,'3、期末成绩'!$A$2:$B$201,2,FALSE))</f>
        <v> </v>
      </c>
      <c r="C82" s="426"/>
      <c r="D82" s="426"/>
      <c r="E82" s="426"/>
      <c r="F82" s="427"/>
      <c r="G82" s="427"/>
      <c r="H82" s="424" t="str">
        <f>IF(A82=" "," ",SUMPRODUCT($C82:$G82,'1、课程目标与考核方式'!$C$13:$G$13)/100)</f>
        <v> </v>
      </c>
      <c r="I82" s="424" t="str">
        <f>IF(A82=" "," ",ROUND(H82/SUM('1、课程目标与考核方式'!$C$13:$G$13)*'1、课程目标与考核方式'!$I$13,0))</f>
        <v> </v>
      </c>
      <c r="J82" s="420">
        <f>IF(ISBLANK('3、期末成绩'!CO82)," ",'3、期末成绩'!CO82)</f>
        <v>0</v>
      </c>
      <c r="K82" s="420">
        <f ca="1">IF(ISBLANK('3、期末成绩'!CP82)," ",'3、期末成绩'!CP82)</f>
        <v>0</v>
      </c>
      <c r="L82" s="420">
        <f>IF(ISBLANK('3、期末成绩'!CE82)," ",'3、期末成绩'!CE82)</f>
        <v>0</v>
      </c>
      <c r="M82" s="420">
        <f>IF(ISBLANK('3、期末成绩'!CF82)," ",'3、期末成绩'!CF82)</f>
        <v>0</v>
      </c>
      <c r="N82" s="420">
        <f>IF(ISBLANK('3、期末成绩'!CG82)," ",'3、期末成绩'!CG82)</f>
        <v>0</v>
      </c>
      <c r="O82" s="420">
        <f>IF(ISBLANK('3、期末成绩'!CH82)," ",'3、期末成绩'!CH82)</f>
        <v>0</v>
      </c>
      <c r="P82" s="420">
        <f>IF(ISBLANK('3、期末成绩'!CI82)," ",'3、期末成绩'!CI82)</f>
        <v>0</v>
      </c>
      <c r="Q82" s="420">
        <f>IF(ISBLANK('3、期末成绩'!CJ82)," ",'3、期末成绩'!CJ82)</f>
        <v>0</v>
      </c>
      <c r="R82" s="420">
        <f>IF(ISBLANK('3、期末成绩'!CK82)," ",'3、期末成绩'!CK82)</f>
        <v>0</v>
      </c>
      <c r="S82" s="420">
        <f>IF(ISBLANK('3、期末成绩'!CL82)," ",'3、期末成绩'!CL82)</f>
        <v>0</v>
      </c>
      <c r="T82" s="420">
        <f>IF(ISBLANK('3、期末成绩'!CM82)," ",'3、期末成绩'!CM82)</f>
        <v>0</v>
      </c>
      <c r="U82" s="420">
        <f>IF(ISBLANK('3、期末成绩'!CN82)," ",'3、期末成绩'!CN82)</f>
        <v>0</v>
      </c>
      <c r="V82" s="420">
        <v>75</v>
      </c>
    </row>
    <row r="83" spans="1:22">
      <c r="A83" s="243" t="str">
        <f>IF(ISBLANK('3、期末成绩'!A83)," ",'3、期末成绩'!A83)</f>
        <v> </v>
      </c>
      <c r="B83" s="244" t="str">
        <f>IF(A83=" "," ",VLOOKUP(A83,'3、期末成绩'!$A$2:$B$201,2,FALSE))</f>
        <v> </v>
      </c>
      <c r="C83" s="426"/>
      <c r="D83" s="426"/>
      <c r="E83" s="426"/>
      <c r="F83" s="427"/>
      <c r="G83" s="427"/>
      <c r="H83" s="424" t="str">
        <f>IF(A83=" "," ",SUMPRODUCT($C83:$G83,'1、课程目标与考核方式'!$C$13:$G$13)/100)</f>
        <v> </v>
      </c>
      <c r="I83" s="424" t="str">
        <f>IF(A83=" "," ",ROUND(H83/SUM('1、课程目标与考核方式'!$C$13:$G$13)*'1、课程目标与考核方式'!$I$13,0))</f>
        <v> </v>
      </c>
      <c r="J83" s="420">
        <f>IF(ISBLANK('3、期末成绩'!CO83)," ",'3、期末成绩'!CO83)</f>
        <v>0</v>
      </c>
      <c r="K83" s="420">
        <f ca="1">IF(ISBLANK('3、期末成绩'!CP83)," ",'3、期末成绩'!CP83)</f>
        <v>0</v>
      </c>
      <c r="L83" s="420">
        <f>IF(ISBLANK('3、期末成绩'!CE83)," ",'3、期末成绩'!CE83)</f>
        <v>0</v>
      </c>
      <c r="M83" s="420">
        <f>IF(ISBLANK('3、期末成绩'!CF83)," ",'3、期末成绩'!CF83)</f>
        <v>0</v>
      </c>
      <c r="N83" s="420">
        <f>IF(ISBLANK('3、期末成绩'!CG83)," ",'3、期末成绩'!CG83)</f>
        <v>0</v>
      </c>
      <c r="O83" s="420">
        <f>IF(ISBLANK('3、期末成绩'!CH83)," ",'3、期末成绩'!CH83)</f>
        <v>0</v>
      </c>
      <c r="P83" s="420">
        <f>IF(ISBLANK('3、期末成绩'!CI83)," ",'3、期末成绩'!CI83)</f>
        <v>0</v>
      </c>
      <c r="Q83" s="420">
        <f>IF(ISBLANK('3、期末成绩'!CJ83)," ",'3、期末成绩'!CJ83)</f>
        <v>0</v>
      </c>
      <c r="R83" s="420">
        <f>IF(ISBLANK('3、期末成绩'!CK83)," ",'3、期末成绩'!CK83)</f>
        <v>0</v>
      </c>
      <c r="S83" s="420">
        <f>IF(ISBLANK('3、期末成绩'!CL83)," ",'3、期末成绩'!CL83)</f>
        <v>0</v>
      </c>
      <c r="T83" s="420">
        <f>IF(ISBLANK('3、期末成绩'!CM83)," ",'3、期末成绩'!CM83)</f>
        <v>0</v>
      </c>
      <c r="U83" s="420">
        <f>IF(ISBLANK('3、期末成绩'!CN83)," ",'3、期末成绩'!CN83)</f>
        <v>0</v>
      </c>
      <c r="V83" s="420">
        <v>83</v>
      </c>
    </row>
    <row r="84" spans="1:22">
      <c r="A84" s="243" t="str">
        <f>IF(ISBLANK('3、期末成绩'!A84)," ",'3、期末成绩'!A84)</f>
        <v> </v>
      </c>
      <c r="B84" s="244" t="str">
        <f>IF(A84=" "," ",VLOOKUP(A84,'3、期末成绩'!$A$2:$B$201,2,FALSE))</f>
        <v> </v>
      </c>
      <c r="C84" s="426"/>
      <c r="D84" s="426"/>
      <c r="E84" s="426"/>
      <c r="F84" s="427"/>
      <c r="G84" s="427"/>
      <c r="H84" s="424" t="str">
        <f>IF(A84=" "," ",SUMPRODUCT($C84:$G84,'1、课程目标与考核方式'!$C$13:$G$13)/100)</f>
        <v> </v>
      </c>
      <c r="I84" s="424" t="str">
        <f>IF(A84=" "," ",ROUND(H84/SUM('1、课程目标与考核方式'!$C$13:$G$13)*'1、课程目标与考核方式'!$I$13,0))</f>
        <v> </v>
      </c>
      <c r="J84" s="420">
        <f>IF(ISBLANK('3、期末成绩'!CO84)," ",'3、期末成绩'!CO84)</f>
        <v>0</v>
      </c>
      <c r="K84" s="420">
        <f ca="1">IF(ISBLANK('3、期末成绩'!CP84)," ",'3、期末成绩'!CP84)</f>
        <v>0</v>
      </c>
      <c r="L84" s="420">
        <f>IF(ISBLANK('3、期末成绩'!CE84)," ",'3、期末成绩'!CE84)</f>
        <v>0</v>
      </c>
      <c r="M84" s="420">
        <f>IF(ISBLANK('3、期末成绩'!CF84)," ",'3、期末成绩'!CF84)</f>
        <v>0</v>
      </c>
      <c r="N84" s="420">
        <f>IF(ISBLANK('3、期末成绩'!CG84)," ",'3、期末成绩'!CG84)</f>
        <v>0</v>
      </c>
      <c r="O84" s="420">
        <f>IF(ISBLANK('3、期末成绩'!CH84)," ",'3、期末成绩'!CH84)</f>
        <v>0</v>
      </c>
      <c r="P84" s="420">
        <f>IF(ISBLANK('3、期末成绩'!CI84)," ",'3、期末成绩'!CI84)</f>
        <v>0</v>
      </c>
      <c r="Q84" s="420">
        <f>IF(ISBLANK('3、期末成绩'!CJ84)," ",'3、期末成绩'!CJ84)</f>
        <v>0</v>
      </c>
      <c r="R84" s="420">
        <f>IF(ISBLANK('3、期末成绩'!CK84)," ",'3、期末成绩'!CK84)</f>
        <v>0</v>
      </c>
      <c r="S84" s="420">
        <f>IF(ISBLANK('3、期末成绩'!CL84)," ",'3、期末成绩'!CL84)</f>
        <v>0</v>
      </c>
      <c r="T84" s="420">
        <f>IF(ISBLANK('3、期末成绩'!CM84)," ",'3、期末成绩'!CM84)</f>
        <v>0</v>
      </c>
      <c r="U84" s="420">
        <f>IF(ISBLANK('3、期末成绩'!CN84)," ",'3、期末成绩'!CN84)</f>
        <v>0</v>
      </c>
      <c r="V84" s="420">
        <v>80</v>
      </c>
    </row>
    <row r="85" spans="1:22">
      <c r="A85" s="243" t="str">
        <f>IF(ISBLANK('3、期末成绩'!A85)," ",'3、期末成绩'!A85)</f>
        <v> </v>
      </c>
      <c r="B85" s="244" t="str">
        <f>IF(A85=" "," ",VLOOKUP(A85,'3、期末成绩'!$A$2:$B$201,2,FALSE))</f>
        <v> </v>
      </c>
      <c r="C85" s="426"/>
      <c r="D85" s="426"/>
      <c r="E85" s="426"/>
      <c r="F85" s="427"/>
      <c r="G85" s="427"/>
      <c r="H85" s="424" t="str">
        <f>IF(A85=" "," ",SUMPRODUCT($C85:$G85,'1、课程目标与考核方式'!$C$13:$G$13)/100)</f>
        <v> </v>
      </c>
      <c r="I85" s="424" t="str">
        <f>IF(A85=" "," ",ROUND(H85/SUM('1、课程目标与考核方式'!$C$13:$G$13)*'1、课程目标与考核方式'!$I$13,0))</f>
        <v> </v>
      </c>
      <c r="J85" s="420">
        <f>IF(ISBLANK('3、期末成绩'!CO85)," ",'3、期末成绩'!CO85)</f>
        <v>0</v>
      </c>
      <c r="K85" s="420">
        <f ca="1">IF(ISBLANK('3、期末成绩'!CP85)," ",'3、期末成绩'!CP85)</f>
        <v>0</v>
      </c>
      <c r="L85" s="420">
        <f>IF(ISBLANK('3、期末成绩'!CE85)," ",'3、期末成绩'!CE85)</f>
        <v>0</v>
      </c>
      <c r="M85" s="420">
        <f>IF(ISBLANK('3、期末成绩'!CF85)," ",'3、期末成绩'!CF85)</f>
        <v>0</v>
      </c>
      <c r="N85" s="420">
        <f>IF(ISBLANK('3、期末成绩'!CG85)," ",'3、期末成绩'!CG85)</f>
        <v>0</v>
      </c>
      <c r="O85" s="420">
        <f>IF(ISBLANK('3、期末成绩'!CH85)," ",'3、期末成绩'!CH85)</f>
        <v>0</v>
      </c>
      <c r="P85" s="420">
        <f>IF(ISBLANK('3、期末成绩'!CI85)," ",'3、期末成绩'!CI85)</f>
        <v>0</v>
      </c>
      <c r="Q85" s="420">
        <f>IF(ISBLANK('3、期末成绩'!CJ85)," ",'3、期末成绩'!CJ85)</f>
        <v>0</v>
      </c>
      <c r="R85" s="420">
        <f>IF(ISBLANK('3、期末成绩'!CK85)," ",'3、期末成绩'!CK85)</f>
        <v>0</v>
      </c>
      <c r="S85" s="420">
        <f>IF(ISBLANK('3、期末成绩'!CL85)," ",'3、期末成绩'!CL85)</f>
        <v>0</v>
      </c>
      <c r="T85" s="420">
        <f>IF(ISBLANK('3、期末成绩'!CM85)," ",'3、期末成绩'!CM85)</f>
        <v>0</v>
      </c>
      <c r="U85" s="420">
        <f>IF(ISBLANK('3、期末成绩'!CN85)," ",'3、期末成绩'!CN85)</f>
        <v>0</v>
      </c>
      <c r="V85" s="420">
        <v>87</v>
      </c>
    </row>
    <row r="86" spans="1:22">
      <c r="A86" s="243" t="str">
        <f>IF(ISBLANK('3、期末成绩'!A86)," ",'3、期末成绩'!A86)</f>
        <v> </v>
      </c>
      <c r="B86" s="244" t="str">
        <f>IF(A86=" "," ",VLOOKUP(A86,'3、期末成绩'!$A$2:$B$201,2,FALSE))</f>
        <v> </v>
      </c>
      <c r="C86" s="426"/>
      <c r="D86" s="426"/>
      <c r="E86" s="426"/>
      <c r="F86" s="427"/>
      <c r="G86" s="427"/>
      <c r="H86" s="424" t="str">
        <f>IF(A86=" "," ",SUMPRODUCT($C86:$G86,'1、课程目标与考核方式'!$C$13:$G$13)/100)</f>
        <v> </v>
      </c>
      <c r="I86" s="424" t="str">
        <f>IF(A86=" "," ",ROUND(H86/SUM('1、课程目标与考核方式'!$C$13:$G$13)*'1、课程目标与考核方式'!$I$13,0))</f>
        <v> </v>
      </c>
      <c r="J86" s="420">
        <f>IF(ISBLANK('3、期末成绩'!CO86)," ",'3、期末成绩'!CO86)</f>
        <v>0</v>
      </c>
      <c r="K86" s="420">
        <f ca="1">IF(ISBLANK('3、期末成绩'!CP86)," ",'3、期末成绩'!CP86)</f>
        <v>0</v>
      </c>
      <c r="L86" s="420">
        <f>IF(ISBLANK('3、期末成绩'!CE86)," ",'3、期末成绩'!CE86)</f>
        <v>0</v>
      </c>
      <c r="M86" s="420">
        <f>IF(ISBLANK('3、期末成绩'!CF86)," ",'3、期末成绩'!CF86)</f>
        <v>0</v>
      </c>
      <c r="N86" s="420">
        <f>IF(ISBLANK('3、期末成绩'!CG86)," ",'3、期末成绩'!CG86)</f>
        <v>0</v>
      </c>
      <c r="O86" s="420">
        <f>IF(ISBLANK('3、期末成绩'!CH86)," ",'3、期末成绩'!CH86)</f>
        <v>0</v>
      </c>
      <c r="P86" s="420">
        <f>IF(ISBLANK('3、期末成绩'!CI86)," ",'3、期末成绩'!CI86)</f>
        <v>0</v>
      </c>
      <c r="Q86" s="420">
        <f>IF(ISBLANK('3、期末成绩'!CJ86)," ",'3、期末成绩'!CJ86)</f>
        <v>0</v>
      </c>
      <c r="R86" s="420">
        <f>IF(ISBLANK('3、期末成绩'!CK86)," ",'3、期末成绩'!CK86)</f>
        <v>0</v>
      </c>
      <c r="S86" s="420">
        <f>IF(ISBLANK('3、期末成绩'!CL86)," ",'3、期末成绩'!CL86)</f>
        <v>0</v>
      </c>
      <c r="T86" s="420">
        <f>IF(ISBLANK('3、期末成绩'!CM86)," ",'3、期末成绩'!CM86)</f>
        <v>0</v>
      </c>
      <c r="U86" s="420">
        <f>IF(ISBLANK('3、期末成绩'!CN86)," ",'3、期末成绩'!CN86)</f>
        <v>0</v>
      </c>
      <c r="V86" s="420">
        <v>0</v>
      </c>
    </row>
    <row r="87" spans="1:22">
      <c r="A87" s="243" t="str">
        <f>IF(ISBLANK('3、期末成绩'!A87)," ",'3、期末成绩'!A87)</f>
        <v> </v>
      </c>
      <c r="B87" s="244" t="str">
        <f>IF(A87=" "," ",VLOOKUP(A87,'3、期末成绩'!$A$2:$B$201,2,FALSE))</f>
        <v> </v>
      </c>
      <c r="C87" s="426"/>
      <c r="D87" s="426"/>
      <c r="E87" s="426"/>
      <c r="F87" s="427"/>
      <c r="G87" s="427"/>
      <c r="H87" s="424" t="str">
        <f>IF(A87=" "," ",SUMPRODUCT($C87:$G87,'1、课程目标与考核方式'!$C$13:$G$13)/100)</f>
        <v> </v>
      </c>
      <c r="I87" s="424" t="str">
        <f>IF(A87=" "," ",ROUND(H87/SUM('1、课程目标与考核方式'!$C$13:$G$13)*'1、课程目标与考核方式'!$I$13,0))</f>
        <v> </v>
      </c>
      <c r="J87" s="420">
        <f>IF(ISBLANK('3、期末成绩'!CO87)," ",'3、期末成绩'!CO87)</f>
        <v>0</v>
      </c>
      <c r="K87" s="420">
        <f ca="1">IF(ISBLANK('3、期末成绩'!CP87)," ",'3、期末成绩'!CP87)</f>
        <v>0</v>
      </c>
      <c r="L87" s="420">
        <f>IF(ISBLANK('3、期末成绩'!CE87)," ",'3、期末成绩'!CE87)</f>
        <v>0</v>
      </c>
      <c r="M87" s="420">
        <f>IF(ISBLANK('3、期末成绩'!CF87)," ",'3、期末成绩'!CF87)</f>
        <v>0</v>
      </c>
      <c r="N87" s="420">
        <f>IF(ISBLANK('3、期末成绩'!CG87)," ",'3、期末成绩'!CG87)</f>
        <v>0</v>
      </c>
      <c r="O87" s="420">
        <f>IF(ISBLANK('3、期末成绩'!CH87)," ",'3、期末成绩'!CH87)</f>
        <v>0</v>
      </c>
      <c r="P87" s="420">
        <f>IF(ISBLANK('3、期末成绩'!CI87)," ",'3、期末成绩'!CI87)</f>
        <v>0</v>
      </c>
      <c r="Q87" s="420">
        <f>IF(ISBLANK('3、期末成绩'!CJ87)," ",'3、期末成绩'!CJ87)</f>
        <v>0</v>
      </c>
      <c r="R87" s="420">
        <f>IF(ISBLANK('3、期末成绩'!CK87)," ",'3、期末成绩'!CK87)</f>
        <v>0</v>
      </c>
      <c r="S87" s="420">
        <f>IF(ISBLANK('3、期末成绩'!CL87)," ",'3、期末成绩'!CL87)</f>
        <v>0</v>
      </c>
      <c r="T87" s="420">
        <f>IF(ISBLANK('3、期末成绩'!CM87)," ",'3、期末成绩'!CM87)</f>
        <v>0</v>
      </c>
      <c r="U87" s="420">
        <f>IF(ISBLANK('3、期末成绩'!CN87)," ",'3、期末成绩'!CN87)</f>
        <v>0</v>
      </c>
      <c r="V87" s="420">
        <v>64</v>
      </c>
    </row>
    <row r="88" spans="1:22">
      <c r="A88" s="243" t="str">
        <f>IF(ISBLANK('3、期末成绩'!A88)," ",'3、期末成绩'!A88)</f>
        <v> </v>
      </c>
      <c r="B88" s="244" t="str">
        <f>IF(A88=" "," ",VLOOKUP(A88,'3、期末成绩'!$A$2:$B$201,2,FALSE))</f>
        <v> </v>
      </c>
      <c r="C88" s="426"/>
      <c r="D88" s="426"/>
      <c r="E88" s="426"/>
      <c r="F88" s="427"/>
      <c r="G88" s="427"/>
      <c r="H88" s="424" t="str">
        <f>IF(A88=" "," ",SUMPRODUCT($C88:$G88,'1、课程目标与考核方式'!$C$13:$G$13)/100)</f>
        <v> </v>
      </c>
      <c r="I88" s="424" t="str">
        <f>IF(A88=" "," ",ROUND(H88/SUM('1、课程目标与考核方式'!$C$13:$G$13)*'1、课程目标与考核方式'!$I$13,0))</f>
        <v> </v>
      </c>
      <c r="J88" s="420">
        <f>IF(ISBLANK('3、期末成绩'!CO88)," ",'3、期末成绩'!CO88)</f>
        <v>0</v>
      </c>
      <c r="K88" s="420">
        <f ca="1">IF(ISBLANK('3、期末成绩'!CP88)," ",'3、期末成绩'!CP88)</f>
        <v>0</v>
      </c>
      <c r="L88" s="420">
        <f>IF(ISBLANK('3、期末成绩'!CE88)," ",'3、期末成绩'!CE88)</f>
        <v>0</v>
      </c>
      <c r="M88" s="420">
        <f>IF(ISBLANK('3、期末成绩'!CF88)," ",'3、期末成绩'!CF88)</f>
        <v>0</v>
      </c>
      <c r="N88" s="420">
        <f>IF(ISBLANK('3、期末成绩'!CG88)," ",'3、期末成绩'!CG88)</f>
        <v>0</v>
      </c>
      <c r="O88" s="420">
        <f>IF(ISBLANK('3、期末成绩'!CH88)," ",'3、期末成绩'!CH88)</f>
        <v>0</v>
      </c>
      <c r="P88" s="420">
        <f>IF(ISBLANK('3、期末成绩'!CI88)," ",'3、期末成绩'!CI88)</f>
        <v>0</v>
      </c>
      <c r="Q88" s="420">
        <f>IF(ISBLANK('3、期末成绩'!CJ88)," ",'3、期末成绩'!CJ88)</f>
        <v>0</v>
      </c>
      <c r="R88" s="420">
        <f>IF(ISBLANK('3、期末成绩'!CK88)," ",'3、期末成绩'!CK88)</f>
        <v>0</v>
      </c>
      <c r="S88" s="420">
        <f>IF(ISBLANK('3、期末成绩'!CL88)," ",'3、期末成绩'!CL88)</f>
        <v>0</v>
      </c>
      <c r="T88" s="420">
        <f>IF(ISBLANK('3、期末成绩'!CM88)," ",'3、期末成绩'!CM88)</f>
        <v>0</v>
      </c>
      <c r="U88" s="420">
        <f>IF(ISBLANK('3、期末成绩'!CN88)," ",'3、期末成绩'!CN88)</f>
        <v>0</v>
      </c>
      <c r="V88" s="420">
        <v>76</v>
      </c>
    </row>
    <row r="89" spans="1:22">
      <c r="A89" s="243" t="str">
        <f>IF(ISBLANK('3、期末成绩'!A89)," ",'3、期末成绩'!A89)</f>
        <v> </v>
      </c>
      <c r="B89" s="244" t="str">
        <f>IF(A89=" "," ",VLOOKUP(A89,'3、期末成绩'!$A$2:$B$201,2,FALSE))</f>
        <v> </v>
      </c>
      <c r="C89" s="426"/>
      <c r="D89" s="426"/>
      <c r="E89" s="426"/>
      <c r="F89" s="427"/>
      <c r="G89" s="427"/>
      <c r="H89" s="424" t="str">
        <f>IF(A89=" "," ",SUMPRODUCT($C89:$G89,'1、课程目标与考核方式'!$C$13:$G$13)/100)</f>
        <v> </v>
      </c>
      <c r="I89" s="424" t="str">
        <f>IF(A89=" "," ",ROUND(H89/SUM('1、课程目标与考核方式'!$C$13:$G$13)*'1、课程目标与考核方式'!$I$13,0))</f>
        <v> </v>
      </c>
      <c r="J89" s="420">
        <f>IF(ISBLANK('3、期末成绩'!CO89)," ",'3、期末成绩'!CO89)</f>
        <v>0</v>
      </c>
      <c r="K89" s="420">
        <f ca="1">IF(ISBLANK('3、期末成绩'!CP89)," ",'3、期末成绩'!CP89)</f>
        <v>0</v>
      </c>
      <c r="L89" s="420">
        <f>IF(ISBLANK('3、期末成绩'!CE89)," ",'3、期末成绩'!CE89)</f>
        <v>0</v>
      </c>
      <c r="M89" s="420">
        <f>IF(ISBLANK('3、期末成绩'!CF89)," ",'3、期末成绩'!CF89)</f>
        <v>0</v>
      </c>
      <c r="N89" s="420">
        <f>IF(ISBLANK('3、期末成绩'!CG89)," ",'3、期末成绩'!CG89)</f>
        <v>0</v>
      </c>
      <c r="O89" s="420">
        <f>IF(ISBLANK('3、期末成绩'!CH89)," ",'3、期末成绩'!CH89)</f>
        <v>0</v>
      </c>
      <c r="P89" s="420">
        <f>IF(ISBLANK('3、期末成绩'!CI89)," ",'3、期末成绩'!CI89)</f>
        <v>0</v>
      </c>
      <c r="Q89" s="420">
        <f>IF(ISBLANK('3、期末成绩'!CJ89)," ",'3、期末成绩'!CJ89)</f>
        <v>0</v>
      </c>
      <c r="R89" s="420">
        <f>IF(ISBLANK('3、期末成绩'!CK89)," ",'3、期末成绩'!CK89)</f>
        <v>0</v>
      </c>
      <c r="S89" s="420">
        <f>IF(ISBLANK('3、期末成绩'!CL89)," ",'3、期末成绩'!CL89)</f>
        <v>0</v>
      </c>
      <c r="T89" s="420">
        <f>IF(ISBLANK('3、期末成绩'!CM89)," ",'3、期末成绩'!CM89)</f>
        <v>0</v>
      </c>
      <c r="U89" s="420">
        <f>IF(ISBLANK('3、期末成绩'!CN89)," ",'3、期末成绩'!CN89)</f>
        <v>0</v>
      </c>
      <c r="V89" s="420">
        <v>58</v>
      </c>
    </row>
    <row r="90" spans="1:22">
      <c r="A90" s="243" t="str">
        <f>IF(ISBLANK('3、期末成绩'!A90)," ",'3、期末成绩'!A90)</f>
        <v> </v>
      </c>
      <c r="B90" s="244" t="str">
        <f>IF(A90=" "," ",VLOOKUP(A90,'3、期末成绩'!$A$2:$B$201,2,FALSE))</f>
        <v> </v>
      </c>
      <c r="C90" s="426"/>
      <c r="D90" s="426"/>
      <c r="E90" s="426"/>
      <c r="F90" s="427"/>
      <c r="G90" s="427"/>
      <c r="H90" s="424" t="str">
        <f>IF(A90=" "," ",SUMPRODUCT($C90:$G90,'1、课程目标与考核方式'!$C$13:$G$13)/100)</f>
        <v> </v>
      </c>
      <c r="I90" s="424" t="str">
        <f>IF(A90=" "," ",ROUND(H90/SUM('1、课程目标与考核方式'!$C$13:$G$13)*'1、课程目标与考核方式'!$I$13,0))</f>
        <v> </v>
      </c>
      <c r="J90" s="420">
        <f>IF(ISBLANK('3、期末成绩'!CO90)," ",'3、期末成绩'!CO90)</f>
        <v>0</v>
      </c>
      <c r="K90" s="420">
        <f ca="1">IF(ISBLANK('3、期末成绩'!CP90)," ",'3、期末成绩'!CP90)</f>
        <v>0</v>
      </c>
      <c r="L90" s="420">
        <f>IF(ISBLANK('3、期末成绩'!CE90)," ",'3、期末成绩'!CE90)</f>
        <v>0</v>
      </c>
      <c r="M90" s="420">
        <f>IF(ISBLANK('3、期末成绩'!CF90)," ",'3、期末成绩'!CF90)</f>
        <v>0</v>
      </c>
      <c r="N90" s="420">
        <f>IF(ISBLANK('3、期末成绩'!CG90)," ",'3、期末成绩'!CG90)</f>
        <v>0</v>
      </c>
      <c r="O90" s="420">
        <f>IF(ISBLANK('3、期末成绩'!CH90)," ",'3、期末成绩'!CH90)</f>
        <v>0</v>
      </c>
      <c r="P90" s="420">
        <f>IF(ISBLANK('3、期末成绩'!CI90)," ",'3、期末成绩'!CI90)</f>
        <v>0</v>
      </c>
      <c r="Q90" s="420">
        <f>IF(ISBLANK('3、期末成绩'!CJ90)," ",'3、期末成绩'!CJ90)</f>
        <v>0</v>
      </c>
      <c r="R90" s="420">
        <f>IF(ISBLANK('3、期末成绩'!CK90)," ",'3、期末成绩'!CK90)</f>
        <v>0</v>
      </c>
      <c r="S90" s="420">
        <f>IF(ISBLANK('3、期末成绩'!CL90)," ",'3、期末成绩'!CL90)</f>
        <v>0</v>
      </c>
      <c r="T90" s="420">
        <f>IF(ISBLANK('3、期末成绩'!CM90)," ",'3、期末成绩'!CM90)</f>
        <v>0</v>
      </c>
      <c r="U90" s="420">
        <f>IF(ISBLANK('3、期末成绩'!CN90)," ",'3、期末成绩'!CN90)</f>
        <v>0</v>
      </c>
      <c r="V90" s="420">
        <v>25</v>
      </c>
    </row>
    <row r="91" spans="1:22">
      <c r="A91" s="243" t="str">
        <f>IF(ISBLANK('3、期末成绩'!A91)," ",'3、期末成绩'!A91)</f>
        <v> </v>
      </c>
      <c r="B91" s="244" t="str">
        <f>IF(A91=" "," ",VLOOKUP(A91,'3、期末成绩'!$A$2:$B$201,2,FALSE))</f>
        <v> </v>
      </c>
      <c r="C91" s="426"/>
      <c r="D91" s="426"/>
      <c r="E91" s="426"/>
      <c r="F91" s="427"/>
      <c r="G91" s="427"/>
      <c r="H91" s="424" t="str">
        <f>IF(A91=" "," ",SUMPRODUCT($C91:$G91,'1、课程目标与考核方式'!$C$13:$G$13)/100)</f>
        <v> </v>
      </c>
      <c r="I91" s="424" t="str">
        <f>IF(A91=" "," ",ROUND(H91/SUM('1、课程目标与考核方式'!$C$13:$G$13)*'1、课程目标与考核方式'!$I$13,0))</f>
        <v> </v>
      </c>
      <c r="J91" s="420">
        <f>IF(ISBLANK('3、期末成绩'!CO91)," ",'3、期末成绩'!CO91)</f>
        <v>0</v>
      </c>
      <c r="K91" s="420">
        <f ca="1">IF(ISBLANK('3、期末成绩'!CP91)," ",'3、期末成绩'!CP91)</f>
        <v>0</v>
      </c>
      <c r="L91" s="420">
        <f>IF(ISBLANK('3、期末成绩'!CE91)," ",'3、期末成绩'!CE91)</f>
        <v>0</v>
      </c>
      <c r="M91" s="420">
        <f>IF(ISBLANK('3、期末成绩'!CF91)," ",'3、期末成绩'!CF91)</f>
        <v>0</v>
      </c>
      <c r="N91" s="420">
        <f>IF(ISBLANK('3、期末成绩'!CG91)," ",'3、期末成绩'!CG91)</f>
        <v>0</v>
      </c>
      <c r="O91" s="420">
        <f>IF(ISBLANK('3、期末成绩'!CH91)," ",'3、期末成绩'!CH91)</f>
        <v>0</v>
      </c>
      <c r="P91" s="420">
        <f>IF(ISBLANK('3、期末成绩'!CI91)," ",'3、期末成绩'!CI91)</f>
        <v>0</v>
      </c>
      <c r="Q91" s="420">
        <f>IF(ISBLANK('3、期末成绩'!CJ91)," ",'3、期末成绩'!CJ91)</f>
        <v>0</v>
      </c>
      <c r="R91" s="420">
        <f>IF(ISBLANK('3、期末成绩'!CK91)," ",'3、期末成绩'!CK91)</f>
        <v>0</v>
      </c>
      <c r="S91" s="420">
        <f>IF(ISBLANK('3、期末成绩'!CL91)," ",'3、期末成绩'!CL91)</f>
        <v>0</v>
      </c>
      <c r="T91" s="420">
        <f>IF(ISBLANK('3、期末成绩'!CM91)," ",'3、期末成绩'!CM91)</f>
        <v>0</v>
      </c>
      <c r="U91" s="420">
        <f>IF(ISBLANK('3、期末成绩'!CN91)," ",'3、期末成绩'!CN91)</f>
        <v>0</v>
      </c>
      <c r="V91" s="420">
        <v>75</v>
      </c>
    </row>
    <row r="92" spans="1:22">
      <c r="A92" s="243" t="str">
        <f>IF(ISBLANK('3、期末成绩'!A92)," ",'3、期末成绩'!A92)</f>
        <v> </v>
      </c>
      <c r="B92" s="244" t="str">
        <f>IF(A92=" "," ",VLOOKUP(A92,'3、期末成绩'!$A$2:$B$201,2,FALSE))</f>
        <v> </v>
      </c>
      <c r="C92" s="426"/>
      <c r="D92" s="426"/>
      <c r="E92" s="426"/>
      <c r="F92" s="427"/>
      <c r="G92" s="427"/>
      <c r="H92" s="424" t="str">
        <f>IF(A92=" "," ",SUMPRODUCT($C92:$G92,'1、课程目标与考核方式'!$C$13:$G$13)/100)</f>
        <v> </v>
      </c>
      <c r="I92" s="424" t="str">
        <f>IF(A92=" "," ",ROUND(H92/SUM('1、课程目标与考核方式'!$C$13:$G$13)*'1、课程目标与考核方式'!$I$13,0))</f>
        <v> </v>
      </c>
      <c r="J92" s="420">
        <f>IF(ISBLANK('3、期末成绩'!CO92)," ",'3、期末成绩'!CO92)</f>
        <v>0</v>
      </c>
      <c r="K92" s="420">
        <f ca="1">IF(ISBLANK('3、期末成绩'!CP92)," ",'3、期末成绩'!CP92)</f>
        <v>0</v>
      </c>
      <c r="L92" s="420">
        <f>IF(ISBLANK('3、期末成绩'!CE92)," ",'3、期末成绩'!CE92)</f>
        <v>0</v>
      </c>
      <c r="M92" s="420">
        <f>IF(ISBLANK('3、期末成绩'!CF92)," ",'3、期末成绩'!CF92)</f>
        <v>0</v>
      </c>
      <c r="N92" s="420">
        <f>IF(ISBLANK('3、期末成绩'!CG92)," ",'3、期末成绩'!CG92)</f>
        <v>0</v>
      </c>
      <c r="O92" s="420">
        <f>IF(ISBLANK('3、期末成绩'!CH92)," ",'3、期末成绩'!CH92)</f>
        <v>0</v>
      </c>
      <c r="P92" s="420">
        <f>IF(ISBLANK('3、期末成绩'!CI92)," ",'3、期末成绩'!CI92)</f>
        <v>0</v>
      </c>
      <c r="Q92" s="420">
        <f>IF(ISBLANK('3、期末成绩'!CJ92)," ",'3、期末成绩'!CJ92)</f>
        <v>0</v>
      </c>
      <c r="R92" s="420">
        <f>IF(ISBLANK('3、期末成绩'!CK92)," ",'3、期末成绩'!CK92)</f>
        <v>0</v>
      </c>
      <c r="S92" s="420">
        <f>IF(ISBLANK('3、期末成绩'!CL92)," ",'3、期末成绩'!CL92)</f>
        <v>0</v>
      </c>
      <c r="T92" s="420">
        <f>IF(ISBLANK('3、期末成绩'!CM92)," ",'3、期末成绩'!CM92)</f>
        <v>0</v>
      </c>
      <c r="U92" s="420">
        <f>IF(ISBLANK('3、期末成绩'!CN92)," ",'3、期末成绩'!CN92)</f>
        <v>0</v>
      </c>
      <c r="V92" s="420">
        <v>16</v>
      </c>
    </row>
    <row r="93" spans="1:22">
      <c r="A93" s="243" t="str">
        <f>IF(ISBLANK('3、期末成绩'!A93)," ",'3、期末成绩'!A93)</f>
        <v> </v>
      </c>
      <c r="B93" s="244" t="str">
        <f>IF(A93=" "," ",VLOOKUP(A93,'3、期末成绩'!$A$2:$B$201,2,FALSE))</f>
        <v> </v>
      </c>
      <c r="C93" s="426"/>
      <c r="D93" s="426"/>
      <c r="E93" s="426"/>
      <c r="F93" s="427"/>
      <c r="G93" s="427"/>
      <c r="H93" s="424" t="str">
        <f>IF(A93=" "," ",SUMPRODUCT($C93:$G93,'1、课程目标与考核方式'!$C$13:$G$13)/100)</f>
        <v> </v>
      </c>
      <c r="I93" s="424" t="str">
        <f>IF(A93=" "," ",ROUND(H93/SUM('1、课程目标与考核方式'!$C$13:$G$13)*'1、课程目标与考核方式'!$I$13,0))</f>
        <v> </v>
      </c>
      <c r="J93" s="420">
        <f>IF(ISBLANK('3、期末成绩'!CO93)," ",'3、期末成绩'!CO93)</f>
        <v>0</v>
      </c>
      <c r="K93" s="420">
        <f ca="1">IF(ISBLANK('3、期末成绩'!CP93)," ",'3、期末成绩'!CP93)</f>
        <v>0</v>
      </c>
      <c r="L93" s="420">
        <f>IF(ISBLANK('3、期末成绩'!CE93)," ",'3、期末成绩'!CE93)</f>
        <v>0</v>
      </c>
      <c r="M93" s="420">
        <f>IF(ISBLANK('3、期末成绩'!CF93)," ",'3、期末成绩'!CF93)</f>
        <v>0</v>
      </c>
      <c r="N93" s="420">
        <f>IF(ISBLANK('3、期末成绩'!CG93)," ",'3、期末成绩'!CG93)</f>
        <v>0</v>
      </c>
      <c r="O93" s="420">
        <f>IF(ISBLANK('3、期末成绩'!CH93)," ",'3、期末成绩'!CH93)</f>
        <v>0</v>
      </c>
      <c r="P93" s="420">
        <f>IF(ISBLANK('3、期末成绩'!CI93)," ",'3、期末成绩'!CI93)</f>
        <v>0</v>
      </c>
      <c r="Q93" s="420">
        <f>IF(ISBLANK('3、期末成绩'!CJ93)," ",'3、期末成绩'!CJ93)</f>
        <v>0</v>
      </c>
      <c r="R93" s="420">
        <f>IF(ISBLANK('3、期末成绩'!CK93)," ",'3、期末成绩'!CK93)</f>
        <v>0</v>
      </c>
      <c r="S93" s="420">
        <f>IF(ISBLANK('3、期末成绩'!CL93)," ",'3、期末成绩'!CL93)</f>
        <v>0</v>
      </c>
      <c r="T93" s="420">
        <f>IF(ISBLANK('3、期末成绩'!CM93)," ",'3、期末成绩'!CM93)</f>
        <v>0</v>
      </c>
      <c r="U93" s="420">
        <f>IF(ISBLANK('3、期末成绩'!CN93)," ",'3、期末成绩'!CN93)</f>
        <v>0</v>
      </c>
      <c r="V93" s="420">
        <v>78</v>
      </c>
    </row>
    <row r="94" spans="1:22">
      <c r="A94" s="243" t="str">
        <f>IF(ISBLANK('3、期末成绩'!A94)," ",'3、期末成绩'!A94)</f>
        <v> </v>
      </c>
      <c r="B94" s="244" t="str">
        <f>IF(A94=" "," ",VLOOKUP(A94,'3、期末成绩'!$A$2:$B$201,2,FALSE))</f>
        <v> </v>
      </c>
      <c r="C94" s="426"/>
      <c r="D94" s="426"/>
      <c r="E94" s="426"/>
      <c r="F94" s="427"/>
      <c r="G94" s="427"/>
      <c r="H94" s="424" t="str">
        <f>IF(A94=" "," ",SUMPRODUCT($C94:$G94,'1、课程目标与考核方式'!$C$13:$G$13)/100)</f>
        <v> </v>
      </c>
      <c r="I94" s="424" t="str">
        <f>IF(A94=" "," ",ROUND(H94/SUM('1、课程目标与考核方式'!$C$13:$G$13)*'1、课程目标与考核方式'!$I$13,0))</f>
        <v> </v>
      </c>
      <c r="J94" s="420">
        <f>IF(ISBLANK('3、期末成绩'!CO94)," ",'3、期末成绩'!CO94)</f>
        <v>0</v>
      </c>
      <c r="K94" s="420">
        <f ca="1">IF(ISBLANK('3、期末成绩'!CP94)," ",'3、期末成绩'!CP94)</f>
        <v>0</v>
      </c>
      <c r="L94" s="420">
        <f>IF(ISBLANK('3、期末成绩'!CE94)," ",'3、期末成绩'!CE94)</f>
        <v>0</v>
      </c>
      <c r="M94" s="420">
        <f>IF(ISBLANK('3、期末成绩'!CF94)," ",'3、期末成绩'!CF94)</f>
        <v>0</v>
      </c>
      <c r="N94" s="420">
        <f>IF(ISBLANK('3、期末成绩'!CG94)," ",'3、期末成绩'!CG94)</f>
        <v>0</v>
      </c>
      <c r="O94" s="420">
        <f>IF(ISBLANK('3、期末成绩'!CH94)," ",'3、期末成绩'!CH94)</f>
        <v>0</v>
      </c>
      <c r="P94" s="420">
        <f>IF(ISBLANK('3、期末成绩'!CI94)," ",'3、期末成绩'!CI94)</f>
        <v>0</v>
      </c>
      <c r="Q94" s="420">
        <f>IF(ISBLANK('3、期末成绩'!CJ94)," ",'3、期末成绩'!CJ94)</f>
        <v>0</v>
      </c>
      <c r="R94" s="420">
        <f>IF(ISBLANK('3、期末成绩'!CK94)," ",'3、期末成绩'!CK94)</f>
        <v>0</v>
      </c>
      <c r="S94" s="420">
        <f>IF(ISBLANK('3、期末成绩'!CL94)," ",'3、期末成绩'!CL94)</f>
        <v>0</v>
      </c>
      <c r="T94" s="420">
        <f>IF(ISBLANK('3、期末成绩'!CM94)," ",'3、期末成绩'!CM94)</f>
        <v>0</v>
      </c>
      <c r="U94" s="420">
        <f>IF(ISBLANK('3、期末成绩'!CN94)," ",'3、期末成绩'!CN94)</f>
        <v>0</v>
      </c>
      <c r="V94" s="420">
        <v>87</v>
      </c>
    </row>
    <row r="95" spans="1:22">
      <c r="A95" s="243" t="str">
        <f>IF(ISBLANK('3、期末成绩'!A95)," ",'3、期末成绩'!A95)</f>
        <v> </v>
      </c>
      <c r="B95" s="244" t="str">
        <f>IF(A95=" "," ",VLOOKUP(A95,'3、期末成绩'!$A$2:$B$201,2,FALSE))</f>
        <v> </v>
      </c>
      <c r="C95" s="426"/>
      <c r="D95" s="426"/>
      <c r="E95" s="426"/>
      <c r="F95" s="427"/>
      <c r="G95" s="427"/>
      <c r="H95" s="424" t="str">
        <f>IF(A95=" "," ",SUMPRODUCT($C95:$G95,'1、课程目标与考核方式'!$C$13:$G$13)/100)</f>
        <v> </v>
      </c>
      <c r="I95" s="424" t="str">
        <f>IF(A95=" "," ",ROUND(H95/SUM('1、课程目标与考核方式'!$C$13:$G$13)*'1、课程目标与考核方式'!$I$13,0))</f>
        <v> </v>
      </c>
      <c r="J95" s="420">
        <f>IF(ISBLANK('3、期末成绩'!CO95)," ",'3、期末成绩'!CO95)</f>
        <v>0</v>
      </c>
      <c r="K95" s="420">
        <f ca="1">IF(ISBLANK('3、期末成绩'!CP95)," ",'3、期末成绩'!CP95)</f>
        <v>0</v>
      </c>
      <c r="L95" s="420">
        <f>IF(ISBLANK('3、期末成绩'!CE95)," ",'3、期末成绩'!CE95)</f>
        <v>0</v>
      </c>
      <c r="M95" s="420">
        <f>IF(ISBLANK('3、期末成绩'!CF95)," ",'3、期末成绩'!CF95)</f>
        <v>0</v>
      </c>
      <c r="N95" s="420">
        <f>IF(ISBLANK('3、期末成绩'!CG95)," ",'3、期末成绩'!CG95)</f>
        <v>0</v>
      </c>
      <c r="O95" s="420">
        <f>IF(ISBLANK('3、期末成绩'!CH95)," ",'3、期末成绩'!CH95)</f>
        <v>0</v>
      </c>
      <c r="P95" s="420">
        <f>IF(ISBLANK('3、期末成绩'!CI95)," ",'3、期末成绩'!CI95)</f>
        <v>0</v>
      </c>
      <c r="Q95" s="420">
        <f>IF(ISBLANK('3、期末成绩'!CJ95)," ",'3、期末成绩'!CJ95)</f>
        <v>0</v>
      </c>
      <c r="R95" s="420">
        <f>IF(ISBLANK('3、期末成绩'!CK95)," ",'3、期末成绩'!CK95)</f>
        <v>0</v>
      </c>
      <c r="S95" s="420">
        <f>IF(ISBLANK('3、期末成绩'!CL95)," ",'3、期末成绩'!CL95)</f>
        <v>0</v>
      </c>
      <c r="T95" s="420">
        <f>IF(ISBLANK('3、期末成绩'!CM95)," ",'3、期末成绩'!CM95)</f>
        <v>0</v>
      </c>
      <c r="U95" s="420">
        <f>IF(ISBLANK('3、期末成绩'!CN95)," ",'3、期末成绩'!CN95)</f>
        <v>0</v>
      </c>
      <c r="V95" s="420">
        <v>22</v>
      </c>
    </row>
    <row r="96" spans="1:22">
      <c r="A96" s="243" t="str">
        <f>IF(ISBLANK('3、期末成绩'!A96)," ",'3、期末成绩'!A96)</f>
        <v> </v>
      </c>
      <c r="B96" s="244" t="str">
        <f>IF(A96=" "," ",VLOOKUP(A96,'3、期末成绩'!$A$2:$B$201,2,FALSE))</f>
        <v> </v>
      </c>
      <c r="C96" s="426"/>
      <c r="D96" s="426"/>
      <c r="E96" s="426"/>
      <c r="F96" s="427"/>
      <c r="G96" s="427"/>
      <c r="H96" s="424" t="str">
        <f>IF(A96=" "," ",SUMPRODUCT($C96:$G96,'1、课程目标与考核方式'!$C$13:$G$13)/100)</f>
        <v> </v>
      </c>
      <c r="I96" s="424" t="str">
        <f>IF(A96=" "," ",ROUND(H96/SUM('1、课程目标与考核方式'!$C$13:$G$13)*'1、课程目标与考核方式'!$I$13,0))</f>
        <v> </v>
      </c>
      <c r="J96" s="420">
        <f>IF(ISBLANK('3、期末成绩'!CO96)," ",'3、期末成绩'!CO96)</f>
        <v>0</v>
      </c>
      <c r="K96" s="420">
        <f ca="1">IF(ISBLANK('3、期末成绩'!CP96)," ",'3、期末成绩'!CP96)</f>
        <v>0</v>
      </c>
      <c r="L96" s="420">
        <f>IF(ISBLANK('3、期末成绩'!CE96)," ",'3、期末成绩'!CE96)</f>
        <v>0</v>
      </c>
      <c r="M96" s="420">
        <f>IF(ISBLANK('3、期末成绩'!CF96)," ",'3、期末成绩'!CF96)</f>
        <v>0</v>
      </c>
      <c r="N96" s="420">
        <f>IF(ISBLANK('3、期末成绩'!CG96)," ",'3、期末成绩'!CG96)</f>
        <v>0</v>
      </c>
      <c r="O96" s="420">
        <f>IF(ISBLANK('3、期末成绩'!CH96)," ",'3、期末成绩'!CH96)</f>
        <v>0</v>
      </c>
      <c r="P96" s="420">
        <f>IF(ISBLANK('3、期末成绩'!CI96)," ",'3、期末成绩'!CI96)</f>
        <v>0</v>
      </c>
      <c r="Q96" s="420">
        <f>IF(ISBLANK('3、期末成绩'!CJ96)," ",'3、期末成绩'!CJ96)</f>
        <v>0</v>
      </c>
      <c r="R96" s="420">
        <f>IF(ISBLANK('3、期末成绩'!CK96)," ",'3、期末成绩'!CK96)</f>
        <v>0</v>
      </c>
      <c r="S96" s="420">
        <f>IF(ISBLANK('3、期末成绩'!CL96)," ",'3、期末成绩'!CL96)</f>
        <v>0</v>
      </c>
      <c r="T96" s="420">
        <f>IF(ISBLANK('3、期末成绩'!CM96)," ",'3、期末成绩'!CM96)</f>
        <v>0</v>
      </c>
      <c r="U96" s="420">
        <f>IF(ISBLANK('3、期末成绩'!CN96)," ",'3、期末成绩'!CN96)</f>
        <v>0</v>
      </c>
      <c r="V96" s="420">
        <v>52</v>
      </c>
    </row>
    <row r="97" spans="1:22">
      <c r="A97" s="243" t="str">
        <f>IF(ISBLANK('3、期末成绩'!A97)," ",'3、期末成绩'!A97)</f>
        <v> </v>
      </c>
      <c r="B97" s="244" t="str">
        <f>IF(A97=" "," ",VLOOKUP(A97,'3、期末成绩'!$A$2:$B$201,2,FALSE))</f>
        <v> </v>
      </c>
      <c r="C97" s="426"/>
      <c r="D97" s="426"/>
      <c r="E97" s="426"/>
      <c r="F97" s="427"/>
      <c r="G97" s="427"/>
      <c r="H97" s="424" t="str">
        <f>IF(A97=" "," ",SUMPRODUCT($C97:$G97,'1、课程目标与考核方式'!$C$13:$G$13)/100)</f>
        <v> </v>
      </c>
      <c r="I97" s="424" t="str">
        <f>IF(A97=" "," ",ROUND(H97/SUM('1、课程目标与考核方式'!$C$13:$G$13)*'1、课程目标与考核方式'!$I$13,0))</f>
        <v> </v>
      </c>
      <c r="J97" s="420">
        <f>IF(ISBLANK('3、期末成绩'!CO97)," ",'3、期末成绩'!CO97)</f>
        <v>0</v>
      </c>
      <c r="K97" s="420">
        <f ca="1">IF(ISBLANK('3、期末成绩'!CP97)," ",'3、期末成绩'!CP97)</f>
        <v>0</v>
      </c>
      <c r="L97" s="420">
        <f>IF(ISBLANK('3、期末成绩'!CE97)," ",'3、期末成绩'!CE97)</f>
        <v>0</v>
      </c>
      <c r="M97" s="420">
        <f>IF(ISBLANK('3、期末成绩'!CF97)," ",'3、期末成绩'!CF97)</f>
        <v>0</v>
      </c>
      <c r="N97" s="420">
        <f>IF(ISBLANK('3、期末成绩'!CG97)," ",'3、期末成绩'!CG97)</f>
        <v>0</v>
      </c>
      <c r="O97" s="420">
        <f>IF(ISBLANK('3、期末成绩'!CH97)," ",'3、期末成绩'!CH97)</f>
        <v>0</v>
      </c>
      <c r="P97" s="420">
        <f>IF(ISBLANK('3、期末成绩'!CI97)," ",'3、期末成绩'!CI97)</f>
        <v>0</v>
      </c>
      <c r="Q97" s="420">
        <f>IF(ISBLANK('3、期末成绩'!CJ97)," ",'3、期末成绩'!CJ97)</f>
        <v>0</v>
      </c>
      <c r="R97" s="420">
        <f>IF(ISBLANK('3、期末成绩'!CK97)," ",'3、期末成绩'!CK97)</f>
        <v>0</v>
      </c>
      <c r="S97" s="420">
        <f>IF(ISBLANK('3、期末成绩'!CL97)," ",'3、期末成绩'!CL97)</f>
        <v>0</v>
      </c>
      <c r="T97" s="420">
        <f>IF(ISBLANK('3、期末成绩'!CM97)," ",'3、期末成绩'!CM97)</f>
        <v>0</v>
      </c>
      <c r="U97" s="420">
        <f>IF(ISBLANK('3、期末成绩'!CN97)," ",'3、期末成绩'!CN97)</f>
        <v>0</v>
      </c>
      <c r="V97" s="420">
        <v>76</v>
      </c>
    </row>
    <row r="98" spans="1:22">
      <c r="A98" s="243" t="str">
        <f>IF(ISBLANK('3、期末成绩'!A98)," ",'3、期末成绩'!A98)</f>
        <v> </v>
      </c>
      <c r="B98" s="244" t="str">
        <f>IF(A98=" "," ",VLOOKUP(A98,'3、期末成绩'!$A$2:$B$201,2,FALSE))</f>
        <v> </v>
      </c>
      <c r="C98" s="426"/>
      <c r="D98" s="426"/>
      <c r="E98" s="426"/>
      <c r="F98" s="427"/>
      <c r="G98" s="427"/>
      <c r="H98" s="424" t="str">
        <f>IF(A98=" "," ",SUMPRODUCT($C98:$G98,'1、课程目标与考核方式'!$C$13:$G$13)/100)</f>
        <v> </v>
      </c>
      <c r="I98" s="424" t="str">
        <f>IF(A98=" "," ",ROUND(H98/SUM('1、课程目标与考核方式'!$C$13:$G$13)*'1、课程目标与考核方式'!$I$13,0))</f>
        <v> </v>
      </c>
      <c r="J98" s="420">
        <f>IF(ISBLANK('3、期末成绩'!CO98)," ",'3、期末成绩'!CO98)</f>
        <v>0</v>
      </c>
      <c r="K98" s="420">
        <f ca="1">IF(ISBLANK('3、期末成绩'!CP98)," ",'3、期末成绩'!CP98)</f>
        <v>0</v>
      </c>
      <c r="L98" s="420">
        <f>IF(ISBLANK('3、期末成绩'!CE98)," ",'3、期末成绩'!CE98)</f>
        <v>0</v>
      </c>
      <c r="M98" s="420">
        <f>IF(ISBLANK('3、期末成绩'!CF98)," ",'3、期末成绩'!CF98)</f>
        <v>0</v>
      </c>
      <c r="N98" s="420">
        <f>IF(ISBLANK('3、期末成绩'!CG98)," ",'3、期末成绩'!CG98)</f>
        <v>0</v>
      </c>
      <c r="O98" s="420">
        <f>IF(ISBLANK('3、期末成绩'!CH98)," ",'3、期末成绩'!CH98)</f>
        <v>0</v>
      </c>
      <c r="P98" s="420">
        <f>IF(ISBLANK('3、期末成绩'!CI98)," ",'3、期末成绩'!CI98)</f>
        <v>0</v>
      </c>
      <c r="Q98" s="420">
        <f>IF(ISBLANK('3、期末成绩'!CJ98)," ",'3、期末成绩'!CJ98)</f>
        <v>0</v>
      </c>
      <c r="R98" s="420">
        <f>IF(ISBLANK('3、期末成绩'!CK98)," ",'3、期末成绩'!CK98)</f>
        <v>0</v>
      </c>
      <c r="S98" s="420">
        <f>IF(ISBLANK('3、期末成绩'!CL98)," ",'3、期末成绩'!CL98)</f>
        <v>0</v>
      </c>
      <c r="T98" s="420">
        <f>IF(ISBLANK('3、期末成绩'!CM98)," ",'3、期末成绩'!CM98)</f>
        <v>0</v>
      </c>
      <c r="U98" s="420">
        <f>IF(ISBLANK('3、期末成绩'!CN98)," ",'3、期末成绩'!CN98)</f>
        <v>0</v>
      </c>
      <c r="V98" s="420">
        <v>89</v>
      </c>
    </row>
    <row r="99" spans="1:22">
      <c r="A99" s="243" t="str">
        <f>IF(ISBLANK('3、期末成绩'!A99)," ",'3、期末成绩'!A99)</f>
        <v> </v>
      </c>
      <c r="B99" s="244" t="str">
        <f>IF(A99=" "," ",VLOOKUP(A99,'3、期末成绩'!$A$2:$B$201,2,FALSE))</f>
        <v> </v>
      </c>
      <c r="C99" s="426"/>
      <c r="D99" s="426"/>
      <c r="E99" s="426"/>
      <c r="F99" s="427"/>
      <c r="G99" s="427"/>
      <c r="H99" s="424" t="str">
        <f>IF(A99=" "," ",SUMPRODUCT($C99:$G99,'1、课程目标与考核方式'!$C$13:$G$13)/100)</f>
        <v> </v>
      </c>
      <c r="I99" s="424" t="str">
        <f>IF(A99=" "," ",ROUND(H99/SUM('1、课程目标与考核方式'!$C$13:$G$13)*'1、课程目标与考核方式'!$I$13,0))</f>
        <v> </v>
      </c>
      <c r="J99" s="420">
        <f>IF(ISBLANK('3、期末成绩'!CO99)," ",'3、期末成绩'!CO99)</f>
        <v>0</v>
      </c>
      <c r="K99" s="420">
        <f ca="1">IF(ISBLANK('3、期末成绩'!CP99)," ",'3、期末成绩'!CP99)</f>
        <v>0</v>
      </c>
      <c r="L99" s="420">
        <f>IF(ISBLANK('3、期末成绩'!CE99)," ",'3、期末成绩'!CE99)</f>
        <v>0</v>
      </c>
      <c r="M99" s="420">
        <f>IF(ISBLANK('3、期末成绩'!CF99)," ",'3、期末成绩'!CF99)</f>
        <v>0</v>
      </c>
      <c r="N99" s="420">
        <f>IF(ISBLANK('3、期末成绩'!CG99)," ",'3、期末成绩'!CG99)</f>
        <v>0</v>
      </c>
      <c r="O99" s="420">
        <f>IF(ISBLANK('3、期末成绩'!CH99)," ",'3、期末成绩'!CH99)</f>
        <v>0</v>
      </c>
      <c r="P99" s="420">
        <f>IF(ISBLANK('3、期末成绩'!CI99)," ",'3、期末成绩'!CI99)</f>
        <v>0</v>
      </c>
      <c r="Q99" s="420">
        <f>IF(ISBLANK('3、期末成绩'!CJ99)," ",'3、期末成绩'!CJ99)</f>
        <v>0</v>
      </c>
      <c r="R99" s="420">
        <f>IF(ISBLANK('3、期末成绩'!CK99)," ",'3、期末成绩'!CK99)</f>
        <v>0</v>
      </c>
      <c r="S99" s="420">
        <f>IF(ISBLANK('3、期末成绩'!CL99)," ",'3、期末成绩'!CL99)</f>
        <v>0</v>
      </c>
      <c r="T99" s="420">
        <f>IF(ISBLANK('3、期末成绩'!CM99)," ",'3、期末成绩'!CM99)</f>
        <v>0</v>
      </c>
      <c r="U99" s="420">
        <f>IF(ISBLANK('3、期末成绩'!CN99)," ",'3、期末成绩'!CN99)</f>
        <v>0</v>
      </c>
      <c r="V99" s="420">
        <v>59</v>
      </c>
    </row>
    <row r="100" spans="1:22">
      <c r="A100" s="243" t="str">
        <f>IF(ISBLANK('3、期末成绩'!A100)," ",'3、期末成绩'!A100)</f>
        <v> </v>
      </c>
      <c r="B100" s="244" t="str">
        <f>IF(A100=" "," ",VLOOKUP(A100,'3、期末成绩'!$A$2:$B$201,2,FALSE))</f>
        <v> </v>
      </c>
      <c r="C100" s="426"/>
      <c r="D100" s="426"/>
      <c r="E100" s="426"/>
      <c r="F100" s="427"/>
      <c r="G100" s="427"/>
      <c r="H100" s="424" t="str">
        <f>IF(A100=" "," ",SUMPRODUCT($C100:$G100,'1、课程目标与考核方式'!$C$13:$G$13)/100)</f>
        <v> </v>
      </c>
      <c r="I100" s="424" t="str">
        <f>IF(A100=" "," ",ROUND(H100/SUM('1、课程目标与考核方式'!$C$13:$G$13)*'1、课程目标与考核方式'!$I$13,0))</f>
        <v> </v>
      </c>
      <c r="J100" s="420">
        <f>IF(ISBLANK('3、期末成绩'!CO100)," ",'3、期末成绩'!CO100)</f>
        <v>0</v>
      </c>
      <c r="K100" s="420">
        <f ca="1">IF(ISBLANK('3、期末成绩'!CP100)," ",'3、期末成绩'!CP100)</f>
        <v>0</v>
      </c>
      <c r="L100" s="420">
        <f>IF(ISBLANK('3、期末成绩'!CE100)," ",'3、期末成绩'!CE100)</f>
        <v>0</v>
      </c>
      <c r="M100" s="420">
        <f>IF(ISBLANK('3、期末成绩'!CF100)," ",'3、期末成绩'!CF100)</f>
        <v>0</v>
      </c>
      <c r="N100" s="420">
        <f>IF(ISBLANK('3、期末成绩'!CG100)," ",'3、期末成绩'!CG100)</f>
        <v>0</v>
      </c>
      <c r="O100" s="420">
        <f>IF(ISBLANK('3、期末成绩'!CH100)," ",'3、期末成绩'!CH100)</f>
        <v>0</v>
      </c>
      <c r="P100" s="420">
        <f>IF(ISBLANK('3、期末成绩'!CI100)," ",'3、期末成绩'!CI100)</f>
        <v>0</v>
      </c>
      <c r="Q100" s="420">
        <f>IF(ISBLANK('3、期末成绩'!CJ100)," ",'3、期末成绩'!CJ100)</f>
        <v>0</v>
      </c>
      <c r="R100" s="420">
        <f>IF(ISBLANK('3、期末成绩'!CK100)," ",'3、期末成绩'!CK100)</f>
        <v>0</v>
      </c>
      <c r="S100" s="420">
        <f>IF(ISBLANK('3、期末成绩'!CL100)," ",'3、期末成绩'!CL100)</f>
        <v>0</v>
      </c>
      <c r="T100" s="420">
        <f>IF(ISBLANK('3、期末成绩'!CM100)," ",'3、期末成绩'!CM100)</f>
        <v>0</v>
      </c>
      <c r="U100" s="420">
        <f>IF(ISBLANK('3、期末成绩'!CN100)," ",'3、期末成绩'!CN100)</f>
        <v>0</v>
      </c>
      <c r="V100" s="420">
        <v>48</v>
      </c>
    </row>
    <row r="101" spans="1:22">
      <c r="A101" s="243" t="str">
        <f>IF(ISBLANK('3、期末成绩'!A101)," ",'3、期末成绩'!A101)</f>
        <v> </v>
      </c>
      <c r="B101" s="244" t="str">
        <f>IF(A101=" "," ",VLOOKUP(A101,'3、期末成绩'!$A$2:$B$201,2,FALSE))</f>
        <v> </v>
      </c>
      <c r="C101" s="426"/>
      <c r="D101" s="426"/>
      <c r="E101" s="426"/>
      <c r="F101" s="427"/>
      <c r="G101" s="427"/>
      <c r="H101" s="424" t="str">
        <f>IF(A101=" "," ",SUMPRODUCT($C101:$G101,'1、课程目标与考核方式'!$C$13:$G$13)/100)</f>
        <v> </v>
      </c>
      <c r="I101" s="424" t="str">
        <f>IF(A101=" "," ",ROUND(H101/SUM('1、课程目标与考核方式'!$C$13:$G$13)*'1、课程目标与考核方式'!$I$13,0))</f>
        <v> </v>
      </c>
      <c r="J101" s="420">
        <f>IF(ISBLANK('3、期末成绩'!CO101)," ",'3、期末成绩'!CO101)</f>
        <v>0</v>
      </c>
      <c r="K101" s="420">
        <f ca="1">IF(ISBLANK('3、期末成绩'!CP101)," ",'3、期末成绩'!CP101)</f>
        <v>0</v>
      </c>
      <c r="L101" s="420">
        <f>IF(ISBLANK('3、期末成绩'!CE101)," ",'3、期末成绩'!CE101)</f>
        <v>0</v>
      </c>
      <c r="M101" s="420">
        <f>IF(ISBLANK('3、期末成绩'!CF101)," ",'3、期末成绩'!CF101)</f>
        <v>0</v>
      </c>
      <c r="N101" s="420">
        <f>IF(ISBLANK('3、期末成绩'!CG101)," ",'3、期末成绩'!CG101)</f>
        <v>0</v>
      </c>
      <c r="O101" s="420">
        <f>IF(ISBLANK('3、期末成绩'!CH101)," ",'3、期末成绩'!CH101)</f>
        <v>0</v>
      </c>
      <c r="P101" s="420">
        <f>IF(ISBLANK('3、期末成绩'!CI101)," ",'3、期末成绩'!CI101)</f>
        <v>0</v>
      </c>
      <c r="Q101" s="420">
        <f>IF(ISBLANK('3、期末成绩'!CJ101)," ",'3、期末成绩'!CJ101)</f>
        <v>0</v>
      </c>
      <c r="R101" s="420">
        <f>IF(ISBLANK('3、期末成绩'!CK101)," ",'3、期末成绩'!CK101)</f>
        <v>0</v>
      </c>
      <c r="S101" s="420">
        <f>IF(ISBLANK('3、期末成绩'!CL101)," ",'3、期末成绩'!CL101)</f>
        <v>0</v>
      </c>
      <c r="T101" s="420">
        <f>IF(ISBLANK('3、期末成绩'!CM101)," ",'3、期末成绩'!CM101)</f>
        <v>0</v>
      </c>
      <c r="U101" s="420">
        <f>IF(ISBLANK('3、期末成绩'!CN101)," ",'3、期末成绩'!CN101)</f>
        <v>0</v>
      </c>
      <c r="V101" s="420">
        <v>90</v>
      </c>
    </row>
    <row r="102" spans="1:22">
      <c r="A102" s="243" t="str">
        <f>IF(ISBLANK('3、期末成绩'!A102)," ",'3、期末成绩'!A102)</f>
        <v> </v>
      </c>
      <c r="B102" s="244" t="str">
        <f>IF(A102=" "," ",VLOOKUP(A102,'3、期末成绩'!$A$2:$B$201,2,FALSE))</f>
        <v> </v>
      </c>
      <c r="C102" s="426"/>
      <c r="D102" s="426"/>
      <c r="E102" s="426"/>
      <c r="F102" s="427"/>
      <c r="G102" s="427"/>
      <c r="H102" s="424" t="str">
        <f>IF(A102=" "," ",SUMPRODUCT($C102:$G102,'1、课程目标与考核方式'!$C$13:$G$13)/100)</f>
        <v> </v>
      </c>
      <c r="I102" s="424" t="str">
        <f>IF(A102=" "," ",ROUND(H102/SUM('1、课程目标与考核方式'!$C$13:$G$13)*'1、课程目标与考核方式'!$I$13,0))</f>
        <v> </v>
      </c>
      <c r="J102" s="420">
        <f>IF(ISBLANK('3、期末成绩'!CO102)," ",'3、期末成绩'!CO102)</f>
        <v>0</v>
      </c>
      <c r="K102" s="420">
        <f ca="1">IF(ISBLANK('3、期末成绩'!CP102)," ",'3、期末成绩'!CP102)</f>
        <v>0</v>
      </c>
      <c r="L102" s="420">
        <f>IF(ISBLANK('3、期末成绩'!CE102)," ",'3、期末成绩'!CE102)</f>
        <v>0</v>
      </c>
      <c r="M102" s="420">
        <f>IF(ISBLANK('3、期末成绩'!CF102)," ",'3、期末成绩'!CF102)</f>
        <v>0</v>
      </c>
      <c r="N102" s="420">
        <f>IF(ISBLANK('3、期末成绩'!CG102)," ",'3、期末成绩'!CG102)</f>
        <v>0</v>
      </c>
      <c r="O102" s="420">
        <f>IF(ISBLANK('3、期末成绩'!CH102)," ",'3、期末成绩'!CH102)</f>
        <v>0</v>
      </c>
      <c r="P102" s="420">
        <f>IF(ISBLANK('3、期末成绩'!CI102)," ",'3、期末成绩'!CI102)</f>
        <v>0</v>
      </c>
      <c r="Q102" s="420">
        <f>IF(ISBLANK('3、期末成绩'!CJ102)," ",'3、期末成绩'!CJ102)</f>
        <v>0</v>
      </c>
      <c r="R102" s="420">
        <f>IF(ISBLANK('3、期末成绩'!CK102)," ",'3、期末成绩'!CK102)</f>
        <v>0</v>
      </c>
      <c r="S102" s="420">
        <f>IF(ISBLANK('3、期末成绩'!CL102)," ",'3、期末成绩'!CL102)</f>
        <v>0</v>
      </c>
      <c r="T102" s="420">
        <f>IF(ISBLANK('3、期末成绩'!CM102)," ",'3、期末成绩'!CM102)</f>
        <v>0</v>
      </c>
      <c r="U102" s="420">
        <f>IF(ISBLANK('3、期末成绩'!CN102)," ",'3、期末成绩'!CN102)</f>
        <v>0</v>
      </c>
      <c r="V102" s="420">
        <v>50</v>
      </c>
    </row>
    <row r="103" spans="1:22">
      <c r="A103" s="243" t="str">
        <f>IF(ISBLANK('3、期末成绩'!A103)," ",'3、期末成绩'!A103)</f>
        <v> </v>
      </c>
      <c r="B103" s="244" t="str">
        <f>IF(A103=" "," ",VLOOKUP(A103,'3、期末成绩'!$A$2:$B$201,2,FALSE))</f>
        <v> </v>
      </c>
      <c r="C103" s="426"/>
      <c r="D103" s="426"/>
      <c r="E103" s="426"/>
      <c r="F103" s="427"/>
      <c r="G103" s="427"/>
      <c r="H103" s="424" t="str">
        <f>IF(A103=" "," ",SUMPRODUCT($C103:$G103,'1、课程目标与考核方式'!$C$13:$G$13)/100)</f>
        <v> </v>
      </c>
      <c r="I103" s="424" t="str">
        <f>IF(A103=" "," ",ROUND(H103/SUM('1、课程目标与考核方式'!$C$13:$G$13)*'1、课程目标与考核方式'!$I$13,0))</f>
        <v> </v>
      </c>
      <c r="J103" s="420">
        <f>IF(ISBLANK('3、期末成绩'!CO103)," ",'3、期末成绩'!CO103)</f>
        <v>0</v>
      </c>
      <c r="K103" s="420">
        <f ca="1">IF(ISBLANK('3、期末成绩'!CP103)," ",'3、期末成绩'!CP103)</f>
        <v>0</v>
      </c>
      <c r="L103" s="420">
        <f>IF(ISBLANK('3、期末成绩'!CE103)," ",'3、期末成绩'!CE103)</f>
        <v>0</v>
      </c>
      <c r="M103" s="420">
        <f>IF(ISBLANK('3、期末成绩'!CF103)," ",'3、期末成绩'!CF103)</f>
        <v>0</v>
      </c>
      <c r="N103" s="420">
        <f>IF(ISBLANK('3、期末成绩'!CG103)," ",'3、期末成绩'!CG103)</f>
        <v>0</v>
      </c>
      <c r="O103" s="420">
        <f>IF(ISBLANK('3、期末成绩'!CH103)," ",'3、期末成绩'!CH103)</f>
        <v>0</v>
      </c>
      <c r="P103" s="420">
        <f>IF(ISBLANK('3、期末成绩'!CI103)," ",'3、期末成绩'!CI103)</f>
        <v>0</v>
      </c>
      <c r="Q103" s="420">
        <f>IF(ISBLANK('3、期末成绩'!CJ103)," ",'3、期末成绩'!CJ103)</f>
        <v>0</v>
      </c>
      <c r="R103" s="420">
        <f>IF(ISBLANK('3、期末成绩'!CK103)," ",'3、期末成绩'!CK103)</f>
        <v>0</v>
      </c>
      <c r="S103" s="420">
        <f>IF(ISBLANK('3、期末成绩'!CL103)," ",'3、期末成绩'!CL103)</f>
        <v>0</v>
      </c>
      <c r="T103" s="420">
        <f>IF(ISBLANK('3、期末成绩'!CM103)," ",'3、期末成绩'!CM103)</f>
        <v>0</v>
      </c>
      <c r="U103" s="420">
        <f>IF(ISBLANK('3、期末成绩'!CN103)," ",'3、期末成绩'!CN103)</f>
        <v>0</v>
      </c>
      <c r="V103" s="420">
        <v>36</v>
      </c>
    </row>
    <row r="104" spans="1:22">
      <c r="A104" s="243" t="str">
        <f>IF(ISBLANK('3、期末成绩'!A104)," ",'3、期末成绩'!A104)</f>
        <v> </v>
      </c>
      <c r="B104" s="244" t="str">
        <f>IF(A104=" "," ",VLOOKUP(A104,'3、期末成绩'!$A$2:$B$201,2,FALSE))</f>
        <v> </v>
      </c>
      <c r="C104" s="426"/>
      <c r="D104" s="426"/>
      <c r="E104" s="426"/>
      <c r="F104" s="427"/>
      <c r="G104" s="427"/>
      <c r="H104" s="424" t="str">
        <f>IF(A104=" "," ",SUMPRODUCT($C104:$G104,'1、课程目标与考核方式'!$C$13:$G$13)/100)</f>
        <v> </v>
      </c>
      <c r="I104" s="424" t="str">
        <f>IF(A104=" "," ",ROUND(H104/SUM('1、课程目标与考核方式'!$C$13:$G$13)*'1、课程目标与考核方式'!$I$13,0))</f>
        <v> </v>
      </c>
      <c r="J104" s="420">
        <f>IF(ISBLANK('3、期末成绩'!CO104)," ",'3、期末成绩'!CO104)</f>
        <v>0</v>
      </c>
      <c r="K104" s="420">
        <f ca="1">IF(ISBLANK('3、期末成绩'!CP104)," ",'3、期末成绩'!CP104)</f>
        <v>0</v>
      </c>
      <c r="L104" s="420">
        <f>IF(ISBLANK('3、期末成绩'!CE104)," ",'3、期末成绩'!CE104)</f>
        <v>0</v>
      </c>
      <c r="M104" s="420">
        <f>IF(ISBLANK('3、期末成绩'!CF104)," ",'3、期末成绩'!CF104)</f>
        <v>0</v>
      </c>
      <c r="N104" s="420">
        <f>IF(ISBLANK('3、期末成绩'!CG104)," ",'3、期末成绩'!CG104)</f>
        <v>0</v>
      </c>
      <c r="O104" s="420">
        <f>IF(ISBLANK('3、期末成绩'!CH104)," ",'3、期末成绩'!CH104)</f>
        <v>0</v>
      </c>
      <c r="P104" s="420">
        <f>IF(ISBLANK('3、期末成绩'!CI104)," ",'3、期末成绩'!CI104)</f>
        <v>0</v>
      </c>
      <c r="Q104" s="420">
        <f>IF(ISBLANK('3、期末成绩'!CJ104)," ",'3、期末成绩'!CJ104)</f>
        <v>0</v>
      </c>
      <c r="R104" s="420">
        <f>IF(ISBLANK('3、期末成绩'!CK104)," ",'3、期末成绩'!CK104)</f>
        <v>0</v>
      </c>
      <c r="S104" s="420">
        <f>IF(ISBLANK('3、期末成绩'!CL104)," ",'3、期末成绩'!CL104)</f>
        <v>0</v>
      </c>
      <c r="T104" s="420">
        <f>IF(ISBLANK('3、期末成绩'!CM104)," ",'3、期末成绩'!CM104)</f>
        <v>0</v>
      </c>
      <c r="U104" s="420">
        <f>IF(ISBLANK('3、期末成绩'!CN104)," ",'3、期末成绩'!CN104)</f>
        <v>0</v>
      </c>
      <c r="V104" s="420">
        <v>61</v>
      </c>
    </row>
    <row r="105" spans="1:22">
      <c r="A105" s="243" t="str">
        <f>IF(ISBLANK('3、期末成绩'!A105)," ",'3、期末成绩'!A105)</f>
        <v> </v>
      </c>
      <c r="B105" s="244" t="str">
        <f>IF(A105=" "," ",VLOOKUP(A105,'3、期末成绩'!$A$2:$B$201,2,FALSE))</f>
        <v> </v>
      </c>
      <c r="C105" s="426"/>
      <c r="D105" s="426"/>
      <c r="E105" s="426"/>
      <c r="F105" s="427"/>
      <c r="G105" s="427"/>
      <c r="H105" s="424" t="str">
        <f>IF(A105=" "," ",SUMPRODUCT($C105:$G105,'1、课程目标与考核方式'!$C$13:$G$13)/100)</f>
        <v> </v>
      </c>
      <c r="I105" s="424" t="str">
        <f>IF(A105=" "," ",ROUND(H105/SUM('1、课程目标与考核方式'!$C$13:$G$13)*'1、课程目标与考核方式'!$I$13,0))</f>
        <v> </v>
      </c>
      <c r="J105" s="420">
        <f>IF(ISBLANK('3、期末成绩'!CO105)," ",'3、期末成绩'!CO105)</f>
        <v>0</v>
      </c>
      <c r="K105" s="420">
        <f ca="1">IF(ISBLANK('3、期末成绩'!CP105)," ",'3、期末成绩'!CP105)</f>
        <v>0</v>
      </c>
      <c r="L105" s="420">
        <f>IF(ISBLANK('3、期末成绩'!CE105)," ",'3、期末成绩'!CE105)</f>
        <v>0</v>
      </c>
      <c r="M105" s="420">
        <f>IF(ISBLANK('3、期末成绩'!CF105)," ",'3、期末成绩'!CF105)</f>
        <v>0</v>
      </c>
      <c r="N105" s="420">
        <f>IF(ISBLANK('3、期末成绩'!CG105)," ",'3、期末成绩'!CG105)</f>
        <v>0</v>
      </c>
      <c r="O105" s="420">
        <f>IF(ISBLANK('3、期末成绩'!CH105)," ",'3、期末成绩'!CH105)</f>
        <v>0</v>
      </c>
      <c r="P105" s="420">
        <f>IF(ISBLANK('3、期末成绩'!CI105)," ",'3、期末成绩'!CI105)</f>
        <v>0</v>
      </c>
      <c r="Q105" s="420">
        <f>IF(ISBLANK('3、期末成绩'!CJ105)," ",'3、期末成绩'!CJ105)</f>
        <v>0</v>
      </c>
      <c r="R105" s="420">
        <f>IF(ISBLANK('3、期末成绩'!CK105)," ",'3、期末成绩'!CK105)</f>
        <v>0</v>
      </c>
      <c r="S105" s="420">
        <f>IF(ISBLANK('3、期末成绩'!CL105)," ",'3、期末成绩'!CL105)</f>
        <v>0</v>
      </c>
      <c r="T105" s="420">
        <f>IF(ISBLANK('3、期末成绩'!CM105)," ",'3、期末成绩'!CM105)</f>
        <v>0</v>
      </c>
      <c r="U105" s="420">
        <f>IF(ISBLANK('3、期末成绩'!CN105)," ",'3、期末成绩'!CN105)</f>
        <v>0</v>
      </c>
      <c r="V105" s="420">
        <v>80</v>
      </c>
    </row>
    <row r="106" spans="1:22">
      <c r="A106" s="243" t="str">
        <f>IF(ISBLANK('3、期末成绩'!A106)," ",'3、期末成绩'!A106)</f>
        <v> </v>
      </c>
      <c r="B106" s="244" t="str">
        <f>IF(A106=" "," ",VLOOKUP(A106,'3、期末成绩'!$A$2:$B$201,2,FALSE))</f>
        <v> </v>
      </c>
      <c r="C106" s="426"/>
      <c r="D106" s="426"/>
      <c r="E106" s="426"/>
      <c r="F106" s="427"/>
      <c r="G106" s="427"/>
      <c r="H106" s="424" t="str">
        <f>IF(A106=" "," ",SUMPRODUCT($C106:$G106,'1、课程目标与考核方式'!$C$13:$G$13)/100)</f>
        <v> </v>
      </c>
      <c r="I106" s="424" t="str">
        <f>IF(A106=" "," ",ROUND(H106/SUM('1、课程目标与考核方式'!$C$13:$G$13)*'1、课程目标与考核方式'!$I$13,0))</f>
        <v> </v>
      </c>
      <c r="J106" s="420">
        <f>IF(ISBLANK('3、期末成绩'!CO106)," ",'3、期末成绩'!CO106)</f>
        <v>0</v>
      </c>
      <c r="K106" s="420">
        <f ca="1">IF(ISBLANK('3、期末成绩'!CP106)," ",'3、期末成绩'!CP106)</f>
        <v>0</v>
      </c>
      <c r="L106" s="420">
        <f>IF(ISBLANK('3、期末成绩'!CE106)," ",'3、期末成绩'!CE106)</f>
        <v>0</v>
      </c>
      <c r="M106" s="420">
        <f>IF(ISBLANK('3、期末成绩'!CF106)," ",'3、期末成绩'!CF106)</f>
        <v>0</v>
      </c>
      <c r="N106" s="420">
        <f>IF(ISBLANK('3、期末成绩'!CG106)," ",'3、期末成绩'!CG106)</f>
        <v>0</v>
      </c>
      <c r="O106" s="420">
        <f>IF(ISBLANK('3、期末成绩'!CH106)," ",'3、期末成绩'!CH106)</f>
        <v>0</v>
      </c>
      <c r="P106" s="420">
        <f>IF(ISBLANK('3、期末成绩'!CI106)," ",'3、期末成绩'!CI106)</f>
        <v>0</v>
      </c>
      <c r="Q106" s="420">
        <f>IF(ISBLANK('3、期末成绩'!CJ106)," ",'3、期末成绩'!CJ106)</f>
        <v>0</v>
      </c>
      <c r="R106" s="420">
        <f>IF(ISBLANK('3、期末成绩'!CK106)," ",'3、期末成绩'!CK106)</f>
        <v>0</v>
      </c>
      <c r="S106" s="420">
        <f>IF(ISBLANK('3、期末成绩'!CL106)," ",'3、期末成绩'!CL106)</f>
        <v>0</v>
      </c>
      <c r="T106" s="420">
        <f>IF(ISBLANK('3、期末成绩'!CM106)," ",'3、期末成绩'!CM106)</f>
        <v>0</v>
      </c>
      <c r="U106" s="420">
        <f>IF(ISBLANK('3、期末成绩'!CN106)," ",'3、期末成绩'!CN106)</f>
        <v>0</v>
      </c>
      <c r="V106" s="420">
        <v>47</v>
      </c>
    </row>
    <row r="107" spans="1:22">
      <c r="A107" s="243" t="str">
        <f>IF(ISBLANK('3、期末成绩'!A107)," ",'3、期末成绩'!A107)</f>
        <v> </v>
      </c>
      <c r="B107" s="244" t="str">
        <f>IF(A107=" "," ",VLOOKUP(A107,'3、期末成绩'!$A$2:$B$201,2,FALSE))</f>
        <v> </v>
      </c>
      <c r="C107" s="426"/>
      <c r="D107" s="426"/>
      <c r="E107" s="426"/>
      <c r="F107" s="427"/>
      <c r="G107" s="427"/>
      <c r="H107" s="424" t="str">
        <f>IF(A107=" "," ",SUMPRODUCT($C107:$G107,'1、课程目标与考核方式'!$C$13:$G$13)/100)</f>
        <v> </v>
      </c>
      <c r="I107" s="424" t="str">
        <f>IF(A107=" "," ",ROUND(H107/SUM('1、课程目标与考核方式'!$C$13:$G$13)*'1、课程目标与考核方式'!$I$13,0))</f>
        <v> </v>
      </c>
      <c r="J107" s="420">
        <f>IF(ISBLANK('3、期末成绩'!CO107)," ",'3、期末成绩'!CO107)</f>
        <v>0</v>
      </c>
      <c r="K107" s="420">
        <f ca="1">IF(ISBLANK('3、期末成绩'!CP107)," ",'3、期末成绩'!CP107)</f>
        <v>0</v>
      </c>
      <c r="L107" s="420">
        <f>IF(ISBLANK('3、期末成绩'!CE107)," ",'3、期末成绩'!CE107)</f>
        <v>0</v>
      </c>
      <c r="M107" s="420">
        <f>IF(ISBLANK('3、期末成绩'!CF107)," ",'3、期末成绩'!CF107)</f>
        <v>0</v>
      </c>
      <c r="N107" s="420">
        <f>IF(ISBLANK('3、期末成绩'!CG107)," ",'3、期末成绩'!CG107)</f>
        <v>0</v>
      </c>
      <c r="O107" s="420">
        <f>IF(ISBLANK('3、期末成绩'!CH107)," ",'3、期末成绩'!CH107)</f>
        <v>0</v>
      </c>
      <c r="P107" s="420">
        <f>IF(ISBLANK('3、期末成绩'!CI107)," ",'3、期末成绩'!CI107)</f>
        <v>0</v>
      </c>
      <c r="Q107" s="420">
        <f>IF(ISBLANK('3、期末成绩'!CJ107)," ",'3、期末成绩'!CJ107)</f>
        <v>0</v>
      </c>
      <c r="R107" s="420">
        <f>IF(ISBLANK('3、期末成绩'!CK107)," ",'3、期末成绩'!CK107)</f>
        <v>0</v>
      </c>
      <c r="S107" s="420">
        <f>IF(ISBLANK('3、期末成绩'!CL107)," ",'3、期末成绩'!CL107)</f>
        <v>0</v>
      </c>
      <c r="T107" s="420">
        <f>IF(ISBLANK('3、期末成绩'!CM107)," ",'3、期末成绩'!CM107)</f>
        <v>0</v>
      </c>
      <c r="U107" s="420">
        <f>IF(ISBLANK('3、期末成绩'!CN107)," ",'3、期末成绩'!CN107)</f>
        <v>0</v>
      </c>
      <c r="V107" s="420">
        <v>70</v>
      </c>
    </row>
    <row r="108" spans="1:22">
      <c r="A108" s="243" t="str">
        <f>IF(ISBLANK('3、期末成绩'!A108)," ",'3、期末成绩'!A108)</f>
        <v> </v>
      </c>
      <c r="B108" s="244" t="str">
        <f>IF(A108=" "," ",VLOOKUP(A108,'3、期末成绩'!$A$2:$B$201,2,FALSE))</f>
        <v> </v>
      </c>
      <c r="C108" s="426"/>
      <c r="D108" s="426"/>
      <c r="E108" s="426"/>
      <c r="F108" s="427"/>
      <c r="G108" s="427"/>
      <c r="H108" s="424" t="str">
        <f>IF(A108=" "," ",SUMPRODUCT($C108:$G108,'1、课程目标与考核方式'!$C$13:$G$13)/100)</f>
        <v> </v>
      </c>
      <c r="I108" s="424" t="str">
        <f>IF(A108=" "," ",ROUND(H108/SUM('1、课程目标与考核方式'!$C$13:$G$13)*'1、课程目标与考核方式'!$I$13,0))</f>
        <v> </v>
      </c>
      <c r="J108" s="420">
        <f>IF(ISBLANK('3、期末成绩'!CO108)," ",'3、期末成绩'!CO108)</f>
        <v>0</v>
      </c>
      <c r="K108" s="420">
        <f ca="1">IF(ISBLANK('3、期末成绩'!CP108)," ",'3、期末成绩'!CP108)</f>
        <v>0</v>
      </c>
      <c r="L108" s="420">
        <f>IF(ISBLANK('3、期末成绩'!CE108)," ",'3、期末成绩'!CE108)</f>
        <v>0</v>
      </c>
      <c r="M108" s="420">
        <f>IF(ISBLANK('3、期末成绩'!CF108)," ",'3、期末成绩'!CF108)</f>
        <v>0</v>
      </c>
      <c r="N108" s="420">
        <f>IF(ISBLANK('3、期末成绩'!CG108)," ",'3、期末成绩'!CG108)</f>
        <v>0</v>
      </c>
      <c r="O108" s="420">
        <f>IF(ISBLANK('3、期末成绩'!CH108)," ",'3、期末成绩'!CH108)</f>
        <v>0</v>
      </c>
      <c r="P108" s="420">
        <f>IF(ISBLANK('3、期末成绩'!CI108)," ",'3、期末成绩'!CI108)</f>
        <v>0</v>
      </c>
      <c r="Q108" s="420">
        <f>IF(ISBLANK('3、期末成绩'!CJ108)," ",'3、期末成绩'!CJ108)</f>
        <v>0</v>
      </c>
      <c r="R108" s="420">
        <f>IF(ISBLANK('3、期末成绩'!CK108)," ",'3、期末成绩'!CK108)</f>
        <v>0</v>
      </c>
      <c r="S108" s="420">
        <f>IF(ISBLANK('3、期末成绩'!CL108)," ",'3、期末成绩'!CL108)</f>
        <v>0</v>
      </c>
      <c r="T108" s="420">
        <f>IF(ISBLANK('3、期末成绩'!CM108)," ",'3、期末成绩'!CM108)</f>
        <v>0</v>
      </c>
      <c r="U108" s="420">
        <f>IF(ISBLANK('3、期末成绩'!CN108)," ",'3、期末成绩'!CN108)</f>
        <v>0</v>
      </c>
      <c r="V108" s="420">
        <v>63</v>
      </c>
    </row>
    <row r="109" spans="1:22">
      <c r="A109" s="243" t="str">
        <f>IF(ISBLANK('3、期末成绩'!A109)," ",'3、期末成绩'!A109)</f>
        <v> </v>
      </c>
      <c r="B109" s="244" t="str">
        <f>IF(A109=" "," ",VLOOKUP(A109,'3、期末成绩'!$A$2:$B$201,2,FALSE))</f>
        <v> </v>
      </c>
      <c r="C109" s="426"/>
      <c r="D109" s="426"/>
      <c r="E109" s="426"/>
      <c r="F109" s="427"/>
      <c r="G109" s="427"/>
      <c r="H109" s="424" t="str">
        <f>IF(A109=" "," ",SUMPRODUCT($C109:$G109,'1、课程目标与考核方式'!$C$13:$G$13)/100)</f>
        <v> </v>
      </c>
      <c r="I109" s="424" t="str">
        <f>IF(A109=" "," ",ROUND(H109/SUM('1、课程目标与考核方式'!$C$13:$G$13)*'1、课程目标与考核方式'!$I$13,0))</f>
        <v> </v>
      </c>
      <c r="J109" s="420">
        <f>IF(ISBLANK('3、期末成绩'!CO109)," ",'3、期末成绩'!CO109)</f>
        <v>0</v>
      </c>
      <c r="K109" s="420">
        <f ca="1">IF(ISBLANK('3、期末成绩'!CP109)," ",'3、期末成绩'!CP109)</f>
        <v>0</v>
      </c>
      <c r="L109" s="420">
        <f>IF(ISBLANK('3、期末成绩'!CE109)," ",'3、期末成绩'!CE109)</f>
        <v>0</v>
      </c>
      <c r="M109" s="420">
        <f>IF(ISBLANK('3、期末成绩'!CF109)," ",'3、期末成绩'!CF109)</f>
        <v>0</v>
      </c>
      <c r="N109" s="420">
        <f>IF(ISBLANK('3、期末成绩'!CG109)," ",'3、期末成绩'!CG109)</f>
        <v>0</v>
      </c>
      <c r="O109" s="420">
        <f>IF(ISBLANK('3、期末成绩'!CH109)," ",'3、期末成绩'!CH109)</f>
        <v>0</v>
      </c>
      <c r="P109" s="420">
        <f>IF(ISBLANK('3、期末成绩'!CI109)," ",'3、期末成绩'!CI109)</f>
        <v>0</v>
      </c>
      <c r="Q109" s="420">
        <f>IF(ISBLANK('3、期末成绩'!CJ109)," ",'3、期末成绩'!CJ109)</f>
        <v>0</v>
      </c>
      <c r="R109" s="420">
        <f>IF(ISBLANK('3、期末成绩'!CK109)," ",'3、期末成绩'!CK109)</f>
        <v>0</v>
      </c>
      <c r="S109" s="420">
        <f>IF(ISBLANK('3、期末成绩'!CL109)," ",'3、期末成绩'!CL109)</f>
        <v>0</v>
      </c>
      <c r="T109" s="420">
        <f>IF(ISBLANK('3、期末成绩'!CM109)," ",'3、期末成绩'!CM109)</f>
        <v>0</v>
      </c>
      <c r="U109" s="420">
        <f>IF(ISBLANK('3、期末成绩'!CN109)," ",'3、期末成绩'!CN109)</f>
        <v>0</v>
      </c>
      <c r="V109" s="420">
        <v>84</v>
      </c>
    </row>
    <row r="110" spans="1:22">
      <c r="A110" s="243" t="str">
        <f>IF(ISBLANK('3、期末成绩'!A110)," ",'3、期末成绩'!A110)</f>
        <v> </v>
      </c>
      <c r="B110" s="244" t="str">
        <f>IF(A110=" "," ",VLOOKUP(A110,'3、期末成绩'!$A$2:$B$201,2,FALSE))</f>
        <v> </v>
      </c>
      <c r="C110" s="426"/>
      <c r="D110" s="426"/>
      <c r="E110" s="426"/>
      <c r="F110" s="427"/>
      <c r="G110" s="427"/>
      <c r="H110" s="424" t="str">
        <f>IF(A110=" "," ",SUMPRODUCT($C110:$G110,'1、课程目标与考核方式'!$C$13:$G$13)/100)</f>
        <v> </v>
      </c>
      <c r="I110" s="424" t="str">
        <f>IF(A110=" "," ",ROUND(H110/SUM('1、课程目标与考核方式'!$C$13:$G$13)*'1、课程目标与考核方式'!$I$13,0))</f>
        <v> </v>
      </c>
      <c r="J110" s="420">
        <f>IF(ISBLANK('3、期末成绩'!CO110)," ",'3、期末成绩'!CO110)</f>
        <v>0</v>
      </c>
      <c r="K110" s="420">
        <f ca="1">IF(ISBLANK('3、期末成绩'!CP110)," ",'3、期末成绩'!CP110)</f>
        <v>0</v>
      </c>
      <c r="L110" s="420">
        <f>IF(ISBLANK('3、期末成绩'!CE110)," ",'3、期末成绩'!CE110)</f>
        <v>0</v>
      </c>
      <c r="M110" s="420">
        <f>IF(ISBLANK('3、期末成绩'!CF110)," ",'3、期末成绩'!CF110)</f>
        <v>0</v>
      </c>
      <c r="N110" s="420">
        <f>IF(ISBLANK('3、期末成绩'!CG110)," ",'3、期末成绩'!CG110)</f>
        <v>0</v>
      </c>
      <c r="O110" s="420">
        <f>IF(ISBLANK('3、期末成绩'!CH110)," ",'3、期末成绩'!CH110)</f>
        <v>0</v>
      </c>
      <c r="P110" s="420">
        <f>IF(ISBLANK('3、期末成绩'!CI110)," ",'3、期末成绩'!CI110)</f>
        <v>0</v>
      </c>
      <c r="Q110" s="420">
        <f>IF(ISBLANK('3、期末成绩'!CJ110)," ",'3、期末成绩'!CJ110)</f>
        <v>0</v>
      </c>
      <c r="R110" s="420">
        <f>IF(ISBLANK('3、期末成绩'!CK110)," ",'3、期末成绩'!CK110)</f>
        <v>0</v>
      </c>
      <c r="S110" s="420">
        <f>IF(ISBLANK('3、期末成绩'!CL110)," ",'3、期末成绩'!CL110)</f>
        <v>0</v>
      </c>
      <c r="T110" s="420">
        <f>IF(ISBLANK('3、期末成绩'!CM110)," ",'3、期末成绩'!CM110)</f>
        <v>0</v>
      </c>
      <c r="U110" s="420">
        <f>IF(ISBLANK('3、期末成绩'!CN110)," ",'3、期末成绩'!CN110)</f>
        <v>0</v>
      </c>
      <c r="V110" s="420">
        <v>66</v>
      </c>
    </row>
    <row r="111" spans="1:22">
      <c r="A111" s="243" t="str">
        <f>IF(ISBLANK('3、期末成绩'!A111)," ",'3、期末成绩'!A111)</f>
        <v> </v>
      </c>
      <c r="B111" s="244" t="str">
        <f>IF(A111=" "," ",VLOOKUP(A111,'3、期末成绩'!$A$2:$B$201,2,FALSE))</f>
        <v> </v>
      </c>
      <c r="C111" s="426"/>
      <c r="D111" s="426"/>
      <c r="E111" s="426"/>
      <c r="F111" s="427"/>
      <c r="G111" s="427"/>
      <c r="H111" s="424" t="str">
        <f>IF(A111=" "," ",SUMPRODUCT($C111:$G111,'1、课程目标与考核方式'!$C$13:$G$13)/100)</f>
        <v> </v>
      </c>
      <c r="I111" s="424" t="str">
        <f>IF(A111=" "," ",ROUND(H111/SUM('1、课程目标与考核方式'!$C$13:$G$13)*'1、课程目标与考核方式'!$I$13,0))</f>
        <v> </v>
      </c>
      <c r="J111" s="420">
        <f>IF(ISBLANK('3、期末成绩'!CO111)," ",'3、期末成绩'!CO111)</f>
        <v>0</v>
      </c>
      <c r="K111" s="420">
        <f ca="1">IF(ISBLANK('3、期末成绩'!CP111)," ",'3、期末成绩'!CP111)</f>
        <v>0</v>
      </c>
      <c r="L111" s="420">
        <f>IF(ISBLANK('3、期末成绩'!CE111)," ",'3、期末成绩'!CE111)</f>
        <v>0</v>
      </c>
      <c r="M111" s="420">
        <f>IF(ISBLANK('3、期末成绩'!CF111)," ",'3、期末成绩'!CF111)</f>
        <v>0</v>
      </c>
      <c r="N111" s="420">
        <f>IF(ISBLANK('3、期末成绩'!CG111)," ",'3、期末成绩'!CG111)</f>
        <v>0</v>
      </c>
      <c r="O111" s="420">
        <f>IF(ISBLANK('3、期末成绩'!CH111)," ",'3、期末成绩'!CH111)</f>
        <v>0</v>
      </c>
      <c r="P111" s="420">
        <f>IF(ISBLANK('3、期末成绩'!CI111)," ",'3、期末成绩'!CI111)</f>
        <v>0</v>
      </c>
      <c r="Q111" s="420">
        <f>IF(ISBLANK('3、期末成绩'!CJ111)," ",'3、期末成绩'!CJ111)</f>
        <v>0</v>
      </c>
      <c r="R111" s="420">
        <f>IF(ISBLANK('3、期末成绩'!CK111)," ",'3、期末成绩'!CK111)</f>
        <v>0</v>
      </c>
      <c r="S111" s="420">
        <f>IF(ISBLANK('3、期末成绩'!CL111)," ",'3、期末成绩'!CL111)</f>
        <v>0</v>
      </c>
      <c r="T111" s="420">
        <f>IF(ISBLANK('3、期末成绩'!CM111)," ",'3、期末成绩'!CM111)</f>
        <v>0</v>
      </c>
      <c r="U111" s="420">
        <f>IF(ISBLANK('3、期末成绩'!CN111)," ",'3、期末成绩'!CN111)</f>
        <v>0</v>
      </c>
      <c r="V111" s="420">
        <v>73</v>
      </c>
    </row>
    <row r="112" spans="1:22">
      <c r="A112" s="243" t="str">
        <f>IF(ISBLANK('3、期末成绩'!A112)," ",'3、期末成绩'!A112)</f>
        <v> </v>
      </c>
      <c r="B112" s="244" t="str">
        <f>IF(A112=" "," ",VLOOKUP(A112,'3、期末成绩'!$A$2:$B$201,2,FALSE))</f>
        <v> </v>
      </c>
      <c r="C112" s="426"/>
      <c r="D112" s="426"/>
      <c r="E112" s="426"/>
      <c r="F112" s="427"/>
      <c r="G112" s="427"/>
      <c r="H112" s="424" t="str">
        <f>IF(A112=" "," ",SUMPRODUCT($C112:$G112,'1、课程目标与考核方式'!$C$13:$G$13)/100)</f>
        <v> </v>
      </c>
      <c r="I112" s="424" t="str">
        <f>IF(A112=" "," ",ROUND(H112/SUM('1、课程目标与考核方式'!$C$13:$G$13)*'1、课程目标与考核方式'!$I$13,0))</f>
        <v> </v>
      </c>
      <c r="J112" s="420">
        <f>IF(ISBLANK('3、期末成绩'!CO112)," ",'3、期末成绩'!CO112)</f>
        <v>0</v>
      </c>
      <c r="K112" s="420">
        <f ca="1">IF(ISBLANK('3、期末成绩'!CP112)," ",'3、期末成绩'!CP112)</f>
        <v>0</v>
      </c>
      <c r="L112" s="420">
        <f>IF(ISBLANK('3、期末成绩'!CE112)," ",'3、期末成绩'!CE112)</f>
        <v>0</v>
      </c>
      <c r="M112" s="420">
        <f>IF(ISBLANK('3、期末成绩'!CF112)," ",'3、期末成绩'!CF112)</f>
        <v>0</v>
      </c>
      <c r="N112" s="420">
        <f>IF(ISBLANK('3、期末成绩'!CG112)," ",'3、期末成绩'!CG112)</f>
        <v>0</v>
      </c>
      <c r="O112" s="420">
        <f>IF(ISBLANK('3、期末成绩'!CH112)," ",'3、期末成绩'!CH112)</f>
        <v>0</v>
      </c>
      <c r="P112" s="420">
        <f>IF(ISBLANK('3、期末成绩'!CI112)," ",'3、期末成绩'!CI112)</f>
        <v>0</v>
      </c>
      <c r="Q112" s="420">
        <f>IF(ISBLANK('3、期末成绩'!CJ112)," ",'3、期末成绩'!CJ112)</f>
        <v>0</v>
      </c>
      <c r="R112" s="420">
        <f>IF(ISBLANK('3、期末成绩'!CK112)," ",'3、期末成绩'!CK112)</f>
        <v>0</v>
      </c>
      <c r="S112" s="420">
        <f>IF(ISBLANK('3、期末成绩'!CL112)," ",'3、期末成绩'!CL112)</f>
        <v>0</v>
      </c>
      <c r="T112" s="420">
        <f>IF(ISBLANK('3、期末成绩'!CM112)," ",'3、期末成绩'!CM112)</f>
        <v>0</v>
      </c>
      <c r="U112" s="420">
        <f>IF(ISBLANK('3、期末成绩'!CN112)," ",'3、期末成绩'!CN112)</f>
        <v>0</v>
      </c>
      <c r="V112" s="420">
        <v>49</v>
      </c>
    </row>
    <row r="113" spans="1:22">
      <c r="A113" s="243" t="str">
        <f>IF(ISBLANK('3、期末成绩'!A113)," ",'3、期末成绩'!A113)</f>
        <v> </v>
      </c>
      <c r="B113" s="244" t="str">
        <f>IF(A113=" "," ",VLOOKUP(A113,'3、期末成绩'!$A$2:$B$201,2,FALSE))</f>
        <v> </v>
      </c>
      <c r="C113" s="426"/>
      <c r="D113" s="426"/>
      <c r="E113" s="426"/>
      <c r="F113" s="427"/>
      <c r="G113" s="427"/>
      <c r="H113" s="424" t="str">
        <f>IF(A113=" "," ",SUMPRODUCT($C113:$G113,'1、课程目标与考核方式'!$C$13:$G$13)/100)</f>
        <v> </v>
      </c>
      <c r="I113" s="424" t="str">
        <f>IF(A113=" "," ",ROUND(H113/SUM('1、课程目标与考核方式'!$C$13:$G$13)*'1、课程目标与考核方式'!$I$13,0))</f>
        <v> </v>
      </c>
      <c r="J113" s="420">
        <f>IF(ISBLANK('3、期末成绩'!CO113)," ",'3、期末成绩'!CO113)</f>
        <v>0</v>
      </c>
      <c r="K113" s="420">
        <f ca="1">IF(ISBLANK('3、期末成绩'!CP113)," ",'3、期末成绩'!CP113)</f>
        <v>0</v>
      </c>
      <c r="L113" s="420">
        <f>IF(ISBLANK('3、期末成绩'!CE113)," ",'3、期末成绩'!CE113)</f>
        <v>0</v>
      </c>
      <c r="M113" s="420">
        <f>IF(ISBLANK('3、期末成绩'!CF113)," ",'3、期末成绩'!CF113)</f>
        <v>0</v>
      </c>
      <c r="N113" s="420">
        <f>IF(ISBLANK('3、期末成绩'!CG113)," ",'3、期末成绩'!CG113)</f>
        <v>0</v>
      </c>
      <c r="O113" s="420">
        <f>IF(ISBLANK('3、期末成绩'!CH113)," ",'3、期末成绩'!CH113)</f>
        <v>0</v>
      </c>
      <c r="P113" s="420">
        <f>IF(ISBLANK('3、期末成绩'!CI113)," ",'3、期末成绩'!CI113)</f>
        <v>0</v>
      </c>
      <c r="Q113" s="420">
        <f>IF(ISBLANK('3、期末成绩'!CJ113)," ",'3、期末成绩'!CJ113)</f>
        <v>0</v>
      </c>
      <c r="R113" s="420">
        <f>IF(ISBLANK('3、期末成绩'!CK113)," ",'3、期末成绩'!CK113)</f>
        <v>0</v>
      </c>
      <c r="S113" s="420">
        <f>IF(ISBLANK('3、期末成绩'!CL113)," ",'3、期末成绩'!CL113)</f>
        <v>0</v>
      </c>
      <c r="T113" s="420">
        <f>IF(ISBLANK('3、期末成绩'!CM113)," ",'3、期末成绩'!CM113)</f>
        <v>0</v>
      </c>
      <c r="U113" s="420">
        <f>IF(ISBLANK('3、期末成绩'!CN113)," ",'3、期末成绩'!CN113)</f>
        <v>0</v>
      </c>
      <c r="V113" s="420">
        <v>55</v>
      </c>
    </row>
    <row r="114" spans="1:22">
      <c r="A114" s="243" t="str">
        <f>IF(ISBLANK('3、期末成绩'!A114)," ",'3、期末成绩'!A114)</f>
        <v> </v>
      </c>
      <c r="B114" s="244" t="str">
        <f>IF(A114=" "," ",VLOOKUP(A114,'3、期末成绩'!$A$2:$B$201,2,FALSE))</f>
        <v> </v>
      </c>
      <c r="C114" s="426"/>
      <c r="D114" s="426"/>
      <c r="E114" s="426"/>
      <c r="F114" s="427"/>
      <c r="G114" s="427"/>
      <c r="H114" s="424" t="str">
        <f>IF(A114=" "," ",SUMPRODUCT($C114:$G114,'1、课程目标与考核方式'!$C$13:$G$13)/100)</f>
        <v> </v>
      </c>
      <c r="I114" s="424" t="str">
        <f>IF(A114=" "," ",ROUND(H114/SUM('1、课程目标与考核方式'!$C$13:$G$13)*'1、课程目标与考核方式'!$I$13,0))</f>
        <v> </v>
      </c>
      <c r="J114" s="420">
        <f>IF(ISBLANK('3、期末成绩'!CO114)," ",'3、期末成绩'!CO114)</f>
        <v>0</v>
      </c>
      <c r="K114" s="420">
        <f ca="1">IF(ISBLANK('3、期末成绩'!CP114)," ",'3、期末成绩'!CP114)</f>
        <v>0</v>
      </c>
      <c r="L114" s="420">
        <f>IF(ISBLANK('3、期末成绩'!CE114)," ",'3、期末成绩'!CE114)</f>
        <v>0</v>
      </c>
      <c r="M114" s="420">
        <f>IF(ISBLANK('3、期末成绩'!CF114)," ",'3、期末成绩'!CF114)</f>
        <v>0</v>
      </c>
      <c r="N114" s="420">
        <f>IF(ISBLANK('3、期末成绩'!CG114)," ",'3、期末成绩'!CG114)</f>
        <v>0</v>
      </c>
      <c r="O114" s="420">
        <f>IF(ISBLANK('3、期末成绩'!CH114)," ",'3、期末成绩'!CH114)</f>
        <v>0</v>
      </c>
      <c r="P114" s="420">
        <f>IF(ISBLANK('3、期末成绩'!CI114)," ",'3、期末成绩'!CI114)</f>
        <v>0</v>
      </c>
      <c r="Q114" s="420">
        <f>IF(ISBLANK('3、期末成绩'!CJ114)," ",'3、期末成绩'!CJ114)</f>
        <v>0</v>
      </c>
      <c r="R114" s="420">
        <f>IF(ISBLANK('3、期末成绩'!CK114)," ",'3、期末成绩'!CK114)</f>
        <v>0</v>
      </c>
      <c r="S114" s="420">
        <f>IF(ISBLANK('3、期末成绩'!CL114)," ",'3、期末成绩'!CL114)</f>
        <v>0</v>
      </c>
      <c r="T114" s="420">
        <f>IF(ISBLANK('3、期末成绩'!CM114)," ",'3、期末成绩'!CM114)</f>
        <v>0</v>
      </c>
      <c r="U114" s="420">
        <f>IF(ISBLANK('3、期末成绩'!CN114)," ",'3、期末成绩'!CN114)</f>
        <v>0</v>
      </c>
      <c r="V114" s="420">
        <v>87</v>
      </c>
    </row>
    <row r="115" spans="1:22">
      <c r="A115" s="243" t="str">
        <f>IF(ISBLANK('3、期末成绩'!A115)," ",'3、期末成绩'!A115)</f>
        <v> </v>
      </c>
      <c r="B115" s="244" t="str">
        <f>IF(A115=" "," ",VLOOKUP(A115,'3、期末成绩'!$A$2:$B$201,2,FALSE))</f>
        <v> </v>
      </c>
      <c r="C115" s="426"/>
      <c r="D115" s="426"/>
      <c r="E115" s="426"/>
      <c r="F115" s="427"/>
      <c r="G115" s="427"/>
      <c r="H115" s="424" t="str">
        <f>IF(A115=" "," ",SUMPRODUCT($C115:$G115,'1、课程目标与考核方式'!$C$13:$G$13)/100)</f>
        <v> </v>
      </c>
      <c r="I115" s="424" t="str">
        <f>IF(A115=" "," ",ROUND(H115/SUM('1、课程目标与考核方式'!$C$13:$G$13)*'1、课程目标与考核方式'!$I$13,0))</f>
        <v> </v>
      </c>
      <c r="J115" s="420">
        <f>IF(ISBLANK('3、期末成绩'!CO115)," ",'3、期末成绩'!CO115)</f>
        <v>0</v>
      </c>
      <c r="K115" s="420">
        <f ca="1">IF(ISBLANK('3、期末成绩'!CP115)," ",'3、期末成绩'!CP115)</f>
        <v>0</v>
      </c>
      <c r="L115" s="420">
        <f>IF(ISBLANK('3、期末成绩'!CE115)," ",'3、期末成绩'!CE115)</f>
        <v>0</v>
      </c>
      <c r="M115" s="420">
        <f>IF(ISBLANK('3、期末成绩'!CF115)," ",'3、期末成绩'!CF115)</f>
        <v>0</v>
      </c>
      <c r="N115" s="420">
        <f>IF(ISBLANK('3、期末成绩'!CG115)," ",'3、期末成绩'!CG115)</f>
        <v>0</v>
      </c>
      <c r="O115" s="420">
        <f>IF(ISBLANK('3、期末成绩'!CH115)," ",'3、期末成绩'!CH115)</f>
        <v>0</v>
      </c>
      <c r="P115" s="420">
        <f>IF(ISBLANK('3、期末成绩'!CI115)," ",'3、期末成绩'!CI115)</f>
        <v>0</v>
      </c>
      <c r="Q115" s="420">
        <f>IF(ISBLANK('3、期末成绩'!CJ115)," ",'3、期末成绩'!CJ115)</f>
        <v>0</v>
      </c>
      <c r="R115" s="420">
        <f>IF(ISBLANK('3、期末成绩'!CK115)," ",'3、期末成绩'!CK115)</f>
        <v>0</v>
      </c>
      <c r="S115" s="420">
        <f>IF(ISBLANK('3、期末成绩'!CL115)," ",'3、期末成绩'!CL115)</f>
        <v>0</v>
      </c>
      <c r="T115" s="420">
        <f>IF(ISBLANK('3、期末成绩'!CM115)," ",'3、期末成绩'!CM115)</f>
        <v>0</v>
      </c>
      <c r="U115" s="420">
        <f>IF(ISBLANK('3、期末成绩'!CN115)," ",'3、期末成绩'!CN115)</f>
        <v>0</v>
      </c>
      <c r="V115" s="420">
        <v>82</v>
      </c>
    </row>
    <row r="116" spans="1:22">
      <c r="A116" s="243" t="str">
        <f>IF(ISBLANK('3、期末成绩'!A116)," ",'3、期末成绩'!A116)</f>
        <v> </v>
      </c>
      <c r="B116" s="244" t="str">
        <f>IF(A116=" "," ",VLOOKUP(A116,'3、期末成绩'!$A$2:$B$201,2,FALSE))</f>
        <v> </v>
      </c>
      <c r="C116" s="426"/>
      <c r="D116" s="426"/>
      <c r="E116" s="426"/>
      <c r="F116" s="427"/>
      <c r="G116" s="427"/>
      <c r="H116" s="424" t="str">
        <f>IF(A116=" "," ",SUMPRODUCT($C116:$G116,'1、课程目标与考核方式'!$C$13:$G$13)/100)</f>
        <v> </v>
      </c>
      <c r="I116" s="424" t="str">
        <f>IF(A116=" "," ",ROUND(H116/SUM('1、课程目标与考核方式'!$C$13:$G$13)*'1、课程目标与考核方式'!$I$13,0))</f>
        <v> </v>
      </c>
      <c r="J116" s="420">
        <f>IF(ISBLANK('3、期末成绩'!CO116)," ",'3、期末成绩'!CO116)</f>
        <v>0</v>
      </c>
      <c r="K116" s="420">
        <f ca="1">IF(ISBLANK('3、期末成绩'!CP116)," ",'3、期末成绩'!CP116)</f>
        <v>0</v>
      </c>
      <c r="L116" s="420">
        <f>IF(ISBLANK('3、期末成绩'!CE116)," ",'3、期末成绩'!CE116)</f>
        <v>0</v>
      </c>
      <c r="M116" s="420">
        <f>IF(ISBLANK('3、期末成绩'!CF116)," ",'3、期末成绩'!CF116)</f>
        <v>0</v>
      </c>
      <c r="N116" s="420">
        <f>IF(ISBLANK('3、期末成绩'!CG116)," ",'3、期末成绩'!CG116)</f>
        <v>0</v>
      </c>
      <c r="O116" s="420">
        <f>IF(ISBLANK('3、期末成绩'!CH116)," ",'3、期末成绩'!CH116)</f>
        <v>0</v>
      </c>
      <c r="P116" s="420">
        <f>IF(ISBLANK('3、期末成绩'!CI116)," ",'3、期末成绩'!CI116)</f>
        <v>0</v>
      </c>
      <c r="Q116" s="420">
        <f>IF(ISBLANK('3、期末成绩'!CJ116)," ",'3、期末成绩'!CJ116)</f>
        <v>0</v>
      </c>
      <c r="R116" s="420">
        <f>IF(ISBLANK('3、期末成绩'!CK116)," ",'3、期末成绩'!CK116)</f>
        <v>0</v>
      </c>
      <c r="S116" s="420">
        <f>IF(ISBLANK('3、期末成绩'!CL116)," ",'3、期末成绩'!CL116)</f>
        <v>0</v>
      </c>
      <c r="T116" s="420">
        <f>IF(ISBLANK('3、期末成绩'!CM116)," ",'3、期末成绩'!CM116)</f>
        <v>0</v>
      </c>
      <c r="U116" s="420">
        <f>IF(ISBLANK('3、期末成绩'!CN116)," ",'3、期末成绩'!CN116)</f>
        <v>0</v>
      </c>
      <c r="V116" s="420">
        <v>65</v>
      </c>
    </row>
    <row r="117" spans="1:22">
      <c r="A117" s="243" t="str">
        <f>IF(ISBLANK('3、期末成绩'!A117)," ",'3、期末成绩'!A117)</f>
        <v> </v>
      </c>
      <c r="B117" s="244" t="str">
        <f>IF(A117=" "," ",VLOOKUP(A117,'3、期末成绩'!$A$2:$B$201,2,FALSE))</f>
        <v> </v>
      </c>
      <c r="C117" s="426"/>
      <c r="D117" s="426"/>
      <c r="E117" s="426"/>
      <c r="F117" s="427"/>
      <c r="G117" s="427"/>
      <c r="H117" s="424" t="str">
        <f>IF(A117=" "," ",SUMPRODUCT($C117:$G117,'1、课程目标与考核方式'!$C$13:$G$13)/100)</f>
        <v> </v>
      </c>
      <c r="I117" s="424" t="str">
        <f>IF(A117=" "," ",ROUND(H117/SUM('1、课程目标与考核方式'!$C$13:$G$13)*'1、课程目标与考核方式'!$I$13,0))</f>
        <v> </v>
      </c>
      <c r="J117" s="420">
        <f>IF(ISBLANK('3、期末成绩'!CO117)," ",'3、期末成绩'!CO117)</f>
        <v>0</v>
      </c>
      <c r="K117" s="420">
        <f ca="1">IF(ISBLANK('3、期末成绩'!CP117)," ",'3、期末成绩'!CP117)</f>
        <v>0</v>
      </c>
      <c r="L117" s="420">
        <f>IF(ISBLANK('3、期末成绩'!CE117)," ",'3、期末成绩'!CE117)</f>
        <v>0</v>
      </c>
      <c r="M117" s="420">
        <f>IF(ISBLANK('3、期末成绩'!CF117)," ",'3、期末成绩'!CF117)</f>
        <v>0</v>
      </c>
      <c r="N117" s="420">
        <f>IF(ISBLANK('3、期末成绩'!CG117)," ",'3、期末成绩'!CG117)</f>
        <v>0</v>
      </c>
      <c r="O117" s="420">
        <f>IF(ISBLANK('3、期末成绩'!CH117)," ",'3、期末成绩'!CH117)</f>
        <v>0</v>
      </c>
      <c r="P117" s="420">
        <f>IF(ISBLANK('3、期末成绩'!CI117)," ",'3、期末成绩'!CI117)</f>
        <v>0</v>
      </c>
      <c r="Q117" s="420">
        <f>IF(ISBLANK('3、期末成绩'!CJ117)," ",'3、期末成绩'!CJ117)</f>
        <v>0</v>
      </c>
      <c r="R117" s="420">
        <f>IF(ISBLANK('3、期末成绩'!CK117)," ",'3、期末成绩'!CK117)</f>
        <v>0</v>
      </c>
      <c r="S117" s="420">
        <f>IF(ISBLANK('3、期末成绩'!CL117)," ",'3、期末成绩'!CL117)</f>
        <v>0</v>
      </c>
      <c r="T117" s="420">
        <f>IF(ISBLANK('3、期末成绩'!CM117)," ",'3、期末成绩'!CM117)</f>
        <v>0</v>
      </c>
      <c r="U117" s="420">
        <f>IF(ISBLANK('3、期末成绩'!CN117)," ",'3、期末成绩'!CN117)</f>
        <v>0</v>
      </c>
      <c r="V117" s="420">
        <v>39</v>
      </c>
    </row>
    <row r="118" spans="1:22">
      <c r="A118" s="243" t="str">
        <f>IF(ISBLANK('3、期末成绩'!A118)," ",'3、期末成绩'!A118)</f>
        <v> </v>
      </c>
      <c r="B118" s="244" t="str">
        <f>IF(A118=" "," ",VLOOKUP(A118,'3、期末成绩'!$A$2:$B$201,2,FALSE))</f>
        <v> </v>
      </c>
      <c r="C118" s="426"/>
      <c r="D118" s="426"/>
      <c r="E118" s="426"/>
      <c r="F118" s="427"/>
      <c r="G118" s="427"/>
      <c r="H118" s="424" t="str">
        <f>IF(A118=" "," ",SUMPRODUCT($C118:$G118,'1、课程目标与考核方式'!$C$13:$G$13)/100)</f>
        <v> </v>
      </c>
      <c r="I118" s="424" t="str">
        <f>IF(A118=" "," ",ROUND(H118/SUM('1、课程目标与考核方式'!$C$13:$G$13)*'1、课程目标与考核方式'!$I$13,0))</f>
        <v> </v>
      </c>
      <c r="J118" s="420">
        <f>IF(ISBLANK('3、期末成绩'!CO118)," ",'3、期末成绩'!CO118)</f>
        <v>0</v>
      </c>
      <c r="K118" s="420">
        <f ca="1">IF(ISBLANK('3、期末成绩'!CP118)," ",'3、期末成绩'!CP118)</f>
        <v>0</v>
      </c>
      <c r="L118" s="420">
        <f>IF(ISBLANK('3、期末成绩'!CE118)," ",'3、期末成绩'!CE118)</f>
        <v>0</v>
      </c>
      <c r="M118" s="420">
        <f>IF(ISBLANK('3、期末成绩'!CF118)," ",'3、期末成绩'!CF118)</f>
        <v>0</v>
      </c>
      <c r="N118" s="420">
        <f>IF(ISBLANK('3、期末成绩'!CG118)," ",'3、期末成绩'!CG118)</f>
        <v>0</v>
      </c>
      <c r="O118" s="420">
        <f>IF(ISBLANK('3、期末成绩'!CH118)," ",'3、期末成绩'!CH118)</f>
        <v>0</v>
      </c>
      <c r="P118" s="420">
        <f>IF(ISBLANK('3、期末成绩'!CI118)," ",'3、期末成绩'!CI118)</f>
        <v>0</v>
      </c>
      <c r="Q118" s="420">
        <f>IF(ISBLANK('3、期末成绩'!CJ118)," ",'3、期末成绩'!CJ118)</f>
        <v>0</v>
      </c>
      <c r="R118" s="420">
        <f>IF(ISBLANK('3、期末成绩'!CK118)," ",'3、期末成绩'!CK118)</f>
        <v>0</v>
      </c>
      <c r="S118" s="420">
        <f>IF(ISBLANK('3、期末成绩'!CL118)," ",'3、期末成绩'!CL118)</f>
        <v>0</v>
      </c>
      <c r="T118" s="420">
        <f>IF(ISBLANK('3、期末成绩'!CM118)," ",'3、期末成绩'!CM118)</f>
        <v>0</v>
      </c>
      <c r="U118" s="420">
        <f>IF(ISBLANK('3、期末成绩'!CN118)," ",'3、期末成绩'!CN118)</f>
        <v>0</v>
      </c>
      <c r="V118" s="420">
        <v>84</v>
      </c>
    </row>
    <row r="119" spans="1:22">
      <c r="A119" s="243" t="str">
        <f>IF(ISBLANK('3、期末成绩'!A119)," ",'3、期末成绩'!A119)</f>
        <v> </v>
      </c>
      <c r="B119" s="244" t="str">
        <f>IF(A119=" "," ",VLOOKUP(A119,'3、期末成绩'!$A$2:$B$201,2,FALSE))</f>
        <v> </v>
      </c>
      <c r="C119" s="426"/>
      <c r="D119" s="426"/>
      <c r="E119" s="426"/>
      <c r="F119" s="427"/>
      <c r="G119" s="427"/>
      <c r="H119" s="424" t="str">
        <f>IF(A119=" "," ",SUMPRODUCT($C119:$G119,'1、课程目标与考核方式'!$C$13:$G$13)/100)</f>
        <v> </v>
      </c>
      <c r="I119" s="424" t="str">
        <f>IF(A119=" "," ",ROUND(H119/SUM('1、课程目标与考核方式'!$C$13:$G$13)*'1、课程目标与考核方式'!$I$13,0))</f>
        <v> </v>
      </c>
      <c r="J119" s="420">
        <f>IF(ISBLANK('3、期末成绩'!CO119)," ",'3、期末成绩'!CO119)</f>
        <v>0</v>
      </c>
      <c r="K119" s="420">
        <f ca="1">IF(ISBLANK('3、期末成绩'!CP119)," ",'3、期末成绩'!CP119)</f>
        <v>0</v>
      </c>
      <c r="L119" s="420">
        <f>IF(ISBLANK('3、期末成绩'!CE119)," ",'3、期末成绩'!CE119)</f>
        <v>0</v>
      </c>
      <c r="M119" s="420">
        <f>IF(ISBLANK('3、期末成绩'!CF119)," ",'3、期末成绩'!CF119)</f>
        <v>0</v>
      </c>
      <c r="N119" s="420">
        <f>IF(ISBLANK('3、期末成绩'!CG119)," ",'3、期末成绩'!CG119)</f>
        <v>0</v>
      </c>
      <c r="O119" s="420">
        <f>IF(ISBLANK('3、期末成绩'!CH119)," ",'3、期末成绩'!CH119)</f>
        <v>0</v>
      </c>
      <c r="P119" s="420">
        <f>IF(ISBLANK('3、期末成绩'!CI119)," ",'3、期末成绩'!CI119)</f>
        <v>0</v>
      </c>
      <c r="Q119" s="420">
        <f>IF(ISBLANK('3、期末成绩'!CJ119)," ",'3、期末成绩'!CJ119)</f>
        <v>0</v>
      </c>
      <c r="R119" s="420">
        <f>IF(ISBLANK('3、期末成绩'!CK119)," ",'3、期末成绩'!CK119)</f>
        <v>0</v>
      </c>
      <c r="S119" s="420">
        <f>IF(ISBLANK('3、期末成绩'!CL119)," ",'3、期末成绩'!CL119)</f>
        <v>0</v>
      </c>
      <c r="T119" s="420">
        <f>IF(ISBLANK('3、期末成绩'!CM119)," ",'3、期末成绩'!CM119)</f>
        <v>0</v>
      </c>
      <c r="U119" s="420">
        <f>IF(ISBLANK('3、期末成绩'!CN119)," ",'3、期末成绩'!CN119)</f>
        <v>0</v>
      </c>
      <c r="V119" s="420">
        <v>87</v>
      </c>
    </row>
    <row r="120" spans="1:22">
      <c r="A120" s="243" t="str">
        <f>IF(ISBLANK('3、期末成绩'!A120)," ",'3、期末成绩'!A120)</f>
        <v> </v>
      </c>
      <c r="B120" s="244" t="str">
        <f>IF(A120=" "," ",VLOOKUP(A120,'3、期末成绩'!$A$2:$B$201,2,FALSE))</f>
        <v> </v>
      </c>
      <c r="C120" s="426"/>
      <c r="D120" s="426"/>
      <c r="E120" s="426"/>
      <c r="F120" s="427"/>
      <c r="G120" s="427"/>
      <c r="H120" s="424" t="str">
        <f>IF(A120=" "," ",SUMPRODUCT($C120:$G120,'1、课程目标与考核方式'!$C$13:$G$13)/100)</f>
        <v> </v>
      </c>
      <c r="I120" s="424" t="str">
        <f>IF(A120=" "," ",ROUND(H120/SUM('1、课程目标与考核方式'!$C$13:$G$13)*'1、课程目标与考核方式'!$I$13,0))</f>
        <v> </v>
      </c>
      <c r="J120" s="420">
        <f>IF(ISBLANK('3、期末成绩'!CO120)," ",'3、期末成绩'!CO120)</f>
        <v>0</v>
      </c>
      <c r="K120" s="420">
        <f ca="1">IF(ISBLANK('3、期末成绩'!CP120)," ",'3、期末成绩'!CP120)</f>
        <v>0</v>
      </c>
      <c r="L120" s="420">
        <f>IF(ISBLANK('3、期末成绩'!CE120)," ",'3、期末成绩'!CE120)</f>
        <v>0</v>
      </c>
      <c r="M120" s="420">
        <f>IF(ISBLANK('3、期末成绩'!CF120)," ",'3、期末成绩'!CF120)</f>
        <v>0</v>
      </c>
      <c r="N120" s="420">
        <f>IF(ISBLANK('3、期末成绩'!CG120)," ",'3、期末成绩'!CG120)</f>
        <v>0</v>
      </c>
      <c r="O120" s="420">
        <f>IF(ISBLANK('3、期末成绩'!CH120)," ",'3、期末成绩'!CH120)</f>
        <v>0</v>
      </c>
      <c r="P120" s="420">
        <f>IF(ISBLANK('3、期末成绩'!CI120)," ",'3、期末成绩'!CI120)</f>
        <v>0</v>
      </c>
      <c r="Q120" s="420">
        <f>IF(ISBLANK('3、期末成绩'!CJ120)," ",'3、期末成绩'!CJ120)</f>
        <v>0</v>
      </c>
      <c r="R120" s="420">
        <f>IF(ISBLANK('3、期末成绩'!CK120)," ",'3、期末成绩'!CK120)</f>
        <v>0</v>
      </c>
      <c r="S120" s="420">
        <f>IF(ISBLANK('3、期末成绩'!CL120)," ",'3、期末成绩'!CL120)</f>
        <v>0</v>
      </c>
      <c r="T120" s="420">
        <f>IF(ISBLANK('3、期末成绩'!CM120)," ",'3、期末成绩'!CM120)</f>
        <v>0</v>
      </c>
      <c r="U120" s="420">
        <f>IF(ISBLANK('3、期末成绩'!CN120)," ",'3、期末成绩'!CN120)</f>
        <v>0</v>
      </c>
      <c r="V120" s="420">
        <v>62</v>
      </c>
    </row>
    <row r="121" spans="1:22">
      <c r="A121" s="243" t="str">
        <f>IF(ISBLANK('3、期末成绩'!A121)," ",'3、期末成绩'!A121)</f>
        <v> </v>
      </c>
      <c r="B121" s="244" t="str">
        <f>IF(A121=" "," ",VLOOKUP(A121,'3、期末成绩'!$A$2:$B$201,2,FALSE))</f>
        <v> </v>
      </c>
      <c r="C121" s="426"/>
      <c r="D121" s="426"/>
      <c r="E121" s="426"/>
      <c r="F121" s="427"/>
      <c r="G121" s="427"/>
      <c r="H121" s="424" t="str">
        <f>IF(A121=" "," ",SUMPRODUCT($C121:$G121,'1、课程目标与考核方式'!$C$13:$G$13)/100)</f>
        <v> </v>
      </c>
      <c r="I121" s="424" t="str">
        <f>IF(A121=" "," ",ROUND(H121/SUM('1、课程目标与考核方式'!$C$13:$G$13)*'1、课程目标与考核方式'!$I$13,0))</f>
        <v> </v>
      </c>
      <c r="J121" s="420">
        <f>IF(ISBLANK('3、期末成绩'!CO121)," ",'3、期末成绩'!CO121)</f>
        <v>0</v>
      </c>
      <c r="K121" s="420">
        <f ca="1">IF(ISBLANK('3、期末成绩'!CP121)," ",'3、期末成绩'!CP121)</f>
        <v>0</v>
      </c>
      <c r="L121" s="420">
        <f>IF(ISBLANK('3、期末成绩'!CE121)," ",'3、期末成绩'!CE121)</f>
        <v>0</v>
      </c>
      <c r="M121" s="420">
        <f>IF(ISBLANK('3、期末成绩'!CF121)," ",'3、期末成绩'!CF121)</f>
        <v>0</v>
      </c>
      <c r="N121" s="420">
        <f>IF(ISBLANK('3、期末成绩'!CG121)," ",'3、期末成绩'!CG121)</f>
        <v>0</v>
      </c>
      <c r="O121" s="420">
        <f>IF(ISBLANK('3、期末成绩'!CH121)," ",'3、期末成绩'!CH121)</f>
        <v>0</v>
      </c>
      <c r="P121" s="420">
        <f>IF(ISBLANK('3、期末成绩'!CI121)," ",'3、期末成绩'!CI121)</f>
        <v>0</v>
      </c>
      <c r="Q121" s="420">
        <f>IF(ISBLANK('3、期末成绩'!CJ121)," ",'3、期末成绩'!CJ121)</f>
        <v>0</v>
      </c>
      <c r="R121" s="420">
        <f>IF(ISBLANK('3、期末成绩'!CK121)," ",'3、期末成绩'!CK121)</f>
        <v>0</v>
      </c>
      <c r="S121" s="420">
        <f>IF(ISBLANK('3、期末成绩'!CL121)," ",'3、期末成绩'!CL121)</f>
        <v>0</v>
      </c>
      <c r="T121" s="420">
        <f>IF(ISBLANK('3、期末成绩'!CM121)," ",'3、期末成绩'!CM121)</f>
        <v>0</v>
      </c>
      <c r="U121" s="420">
        <f>IF(ISBLANK('3、期末成绩'!CN121)," ",'3、期末成绩'!CN121)</f>
        <v>0</v>
      </c>
      <c r="V121" s="420">
        <v>42</v>
      </c>
    </row>
    <row r="122" spans="1:22">
      <c r="A122" s="243" t="str">
        <f>IF(ISBLANK('3、期末成绩'!A122)," ",'3、期末成绩'!A122)</f>
        <v> </v>
      </c>
      <c r="B122" s="244" t="str">
        <f>IF(A122=" "," ",VLOOKUP(A122,'3、期末成绩'!$A$2:$B$201,2,FALSE))</f>
        <v> </v>
      </c>
      <c r="C122" s="426"/>
      <c r="D122" s="426"/>
      <c r="E122" s="426"/>
      <c r="F122" s="427"/>
      <c r="G122" s="427"/>
      <c r="H122" s="424" t="str">
        <f>IF(A122=" "," ",SUMPRODUCT($C122:$G122,'1、课程目标与考核方式'!$C$13:$G$13)/100)</f>
        <v> </v>
      </c>
      <c r="I122" s="424" t="str">
        <f>IF(A122=" "," ",ROUND(H122/SUM('1、课程目标与考核方式'!$C$13:$G$13)*'1、课程目标与考核方式'!$I$13,0))</f>
        <v> </v>
      </c>
      <c r="J122" s="420">
        <f>IF(ISBLANK('3、期末成绩'!CO122)," ",'3、期末成绩'!CO122)</f>
        <v>0</v>
      </c>
      <c r="K122" s="420">
        <f ca="1">IF(ISBLANK('3、期末成绩'!CP122)," ",'3、期末成绩'!CP122)</f>
        <v>0</v>
      </c>
      <c r="L122" s="420">
        <f>IF(ISBLANK('3、期末成绩'!CE122)," ",'3、期末成绩'!CE122)</f>
        <v>0</v>
      </c>
      <c r="M122" s="420">
        <f>IF(ISBLANK('3、期末成绩'!CF122)," ",'3、期末成绩'!CF122)</f>
        <v>0</v>
      </c>
      <c r="N122" s="420">
        <f>IF(ISBLANK('3、期末成绩'!CG122)," ",'3、期末成绩'!CG122)</f>
        <v>0</v>
      </c>
      <c r="O122" s="420">
        <f>IF(ISBLANK('3、期末成绩'!CH122)," ",'3、期末成绩'!CH122)</f>
        <v>0</v>
      </c>
      <c r="P122" s="420">
        <f>IF(ISBLANK('3、期末成绩'!CI122)," ",'3、期末成绩'!CI122)</f>
        <v>0</v>
      </c>
      <c r="Q122" s="420">
        <f>IF(ISBLANK('3、期末成绩'!CJ122)," ",'3、期末成绩'!CJ122)</f>
        <v>0</v>
      </c>
      <c r="R122" s="420">
        <f>IF(ISBLANK('3、期末成绩'!CK122)," ",'3、期末成绩'!CK122)</f>
        <v>0</v>
      </c>
      <c r="S122" s="420">
        <f>IF(ISBLANK('3、期末成绩'!CL122)," ",'3、期末成绩'!CL122)</f>
        <v>0</v>
      </c>
      <c r="T122" s="420">
        <f>IF(ISBLANK('3、期末成绩'!CM122)," ",'3、期末成绩'!CM122)</f>
        <v>0</v>
      </c>
      <c r="U122" s="420">
        <f>IF(ISBLANK('3、期末成绩'!CN122)," ",'3、期末成绩'!CN122)</f>
        <v>0</v>
      </c>
      <c r="V122" s="420">
        <v>49</v>
      </c>
    </row>
    <row r="123" spans="1:22">
      <c r="A123" s="243" t="str">
        <f>IF(ISBLANK('3、期末成绩'!A123)," ",'3、期末成绩'!A123)</f>
        <v> </v>
      </c>
      <c r="B123" s="244" t="str">
        <f>IF(A123=" "," ",VLOOKUP(A123,'3、期末成绩'!$A$2:$B$201,2,FALSE))</f>
        <v> </v>
      </c>
      <c r="C123" s="426"/>
      <c r="D123" s="426"/>
      <c r="E123" s="426"/>
      <c r="F123" s="427"/>
      <c r="G123" s="427"/>
      <c r="H123" s="424" t="str">
        <f>IF(A123=" "," ",SUMPRODUCT($C123:$G123,'1、课程目标与考核方式'!$C$13:$G$13)/100)</f>
        <v> </v>
      </c>
      <c r="I123" s="424" t="str">
        <f>IF(A123=" "," ",ROUND(H123/SUM('1、课程目标与考核方式'!$C$13:$G$13)*'1、课程目标与考核方式'!$I$13,0))</f>
        <v> </v>
      </c>
      <c r="J123" s="420">
        <f>IF(ISBLANK('3、期末成绩'!CO123)," ",'3、期末成绩'!CO123)</f>
        <v>0</v>
      </c>
      <c r="K123" s="420">
        <f ca="1">IF(ISBLANK('3、期末成绩'!CP123)," ",'3、期末成绩'!CP123)</f>
        <v>0</v>
      </c>
      <c r="L123" s="420">
        <f>IF(ISBLANK('3、期末成绩'!CE123)," ",'3、期末成绩'!CE123)</f>
        <v>0</v>
      </c>
      <c r="M123" s="420">
        <f>IF(ISBLANK('3、期末成绩'!CF123)," ",'3、期末成绩'!CF123)</f>
        <v>0</v>
      </c>
      <c r="N123" s="420">
        <f>IF(ISBLANK('3、期末成绩'!CG123)," ",'3、期末成绩'!CG123)</f>
        <v>0</v>
      </c>
      <c r="O123" s="420">
        <f>IF(ISBLANK('3、期末成绩'!CH123)," ",'3、期末成绩'!CH123)</f>
        <v>0</v>
      </c>
      <c r="P123" s="420">
        <f>IF(ISBLANK('3、期末成绩'!CI123)," ",'3、期末成绩'!CI123)</f>
        <v>0</v>
      </c>
      <c r="Q123" s="420">
        <f>IF(ISBLANK('3、期末成绩'!CJ123)," ",'3、期末成绩'!CJ123)</f>
        <v>0</v>
      </c>
      <c r="R123" s="420">
        <f>IF(ISBLANK('3、期末成绩'!CK123)," ",'3、期末成绩'!CK123)</f>
        <v>0</v>
      </c>
      <c r="S123" s="420">
        <f>IF(ISBLANK('3、期末成绩'!CL123)," ",'3、期末成绩'!CL123)</f>
        <v>0</v>
      </c>
      <c r="T123" s="420">
        <f>IF(ISBLANK('3、期末成绩'!CM123)," ",'3、期末成绩'!CM123)</f>
        <v>0</v>
      </c>
      <c r="U123" s="420">
        <f>IF(ISBLANK('3、期末成绩'!CN123)," ",'3、期末成绩'!CN123)</f>
        <v>0</v>
      </c>
      <c r="V123" s="420">
        <v>52</v>
      </c>
    </row>
    <row r="124" spans="1:9">
      <c r="A124" s="243" t="str">
        <f>IF(ISBLANK('3、期末成绩'!A124)," ",'3、期末成绩'!A124)</f>
        <v> </v>
      </c>
      <c r="B124" s="244" t="str">
        <f>IF(A124=" "," ",VLOOKUP(A124,'3、期末成绩'!$A$2:$B$201,2,FALSE))</f>
        <v> </v>
      </c>
      <c r="C124" s="426"/>
      <c r="D124" s="426"/>
      <c r="E124" s="426"/>
      <c r="F124" s="427"/>
      <c r="G124" s="427"/>
      <c r="H124" s="424" t="str">
        <f>IF(A124=" "," ",SUMPRODUCT($C124:$G124,'1、课程目标与考核方式'!$C$13:$G$13)/100)</f>
        <v> </v>
      </c>
      <c r="I124" s="424" t="str">
        <f>IF(A124=" "," ",ROUND(H124/SUM('1、课程目标与考核方式'!$C$13:$G$13)*'1、课程目标与考核方式'!$I$13,0))</f>
        <v> </v>
      </c>
    </row>
    <row r="125" spans="1:9">
      <c r="A125" s="243" t="str">
        <f>IF(ISBLANK('3、期末成绩'!A125)," ",'3、期末成绩'!A125)</f>
        <v> </v>
      </c>
      <c r="B125" s="244" t="str">
        <f>IF(A125=" "," ",VLOOKUP(A125,'3、期末成绩'!$A$2:$B$201,2,FALSE))</f>
        <v> </v>
      </c>
      <c r="C125" s="426"/>
      <c r="D125" s="426"/>
      <c r="E125" s="426"/>
      <c r="F125" s="427"/>
      <c r="G125" s="427"/>
      <c r="H125" s="424" t="str">
        <f>IF(A125=" "," ",SUMPRODUCT($C125:$G125,'1、课程目标与考核方式'!$C$13:$G$13)/100)</f>
        <v> </v>
      </c>
      <c r="I125" s="424" t="str">
        <f>IF(A125=" "," ",ROUND(H125/SUM('1、课程目标与考核方式'!$C$13:$G$13)*'1、课程目标与考核方式'!$I$13,0))</f>
        <v> </v>
      </c>
    </row>
    <row r="126" spans="1:9">
      <c r="A126" s="243" t="str">
        <f>IF(ISBLANK('3、期末成绩'!A126)," ",'3、期末成绩'!A126)</f>
        <v> </v>
      </c>
      <c r="B126" s="244" t="str">
        <f>IF(A126=" "," ",VLOOKUP(A126,'3、期末成绩'!$A$2:$B$201,2,FALSE))</f>
        <v> </v>
      </c>
      <c r="C126" s="426"/>
      <c r="D126" s="426"/>
      <c r="E126" s="426"/>
      <c r="F126" s="427"/>
      <c r="G126" s="427"/>
      <c r="H126" s="424" t="str">
        <f>IF(A126=" "," ",SUMPRODUCT($C126:$G126,'1、课程目标与考核方式'!$C$13:$G$13)/100)</f>
        <v> </v>
      </c>
      <c r="I126" s="424" t="str">
        <f>IF(A126=" "," ",ROUND(H126/SUM('1、课程目标与考核方式'!$C$13:$G$13)*'1、课程目标与考核方式'!$I$13,0))</f>
        <v> </v>
      </c>
    </row>
    <row r="127" spans="1:9">
      <c r="A127" s="243" t="str">
        <f>IF(ISBLANK('3、期末成绩'!A127)," ",'3、期末成绩'!A127)</f>
        <v> </v>
      </c>
      <c r="B127" s="244" t="str">
        <f>IF(A127=" "," ",VLOOKUP(A127,'3、期末成绩'!$A$2:$B$201,2,FALSE))</f>
        <v> </v>
      </c>
      <c r="C127" s="426"/>
      <c r="D127" s="426"/>
      <c r="E127" s="426"/>
      <c r="F127" s="427"/>
      <c r="G127" s="427"/>
      <c r="H127" s="424" t="str">
        <f>IF(A127=" "," ",SUMPRODUCT($C127:$G127,'1、课程目标与考核方式'!$C$13:$G$13)/100)</f>
        <v> </v>
      </c>
      <c r="I127" s="424" t="str">
        <f>IF(A127=" "," ",ROUND(H127/SUM('1、课程目标与考核方式'!$C$13:$G$13)*'1、课程目标与考核方式'!$I$13,0))</f>
        <v> </v>
      </c>
    </row>
    <row r="128" spans="1:9">
      <c r="A128" s="243" t="str">
        <f>IF(ISBLANK('3、期末成绩'!A128)," ",'3、期末成绩'!A128)</f>
        <v> </v>
      </c>
      <c r="B128" s="244" t="str">
        <f>IF(A128=" "," ",VLOOKUP(A128,'3、期末成绩'!$A$2:$B$201,2,FALSE))</f>
        <v> </v>
      </c>
      <c r="C128" s="426"/>
      <c r="D128" s="426"/>
      <c r="E128" s="426"/>
      <c r="F128" s="427"/>
      <c r="G128" s="427"/>
      <c r="H128" s="424" t="str">
        <f>IF(A128=" "," ",SUMPRODUCT($C128:$G128,'1、课程目标与考核方式'!$C$13:$G$13)/100)</f>
        <v> </v>
      </c>
      <c r="I128" s="424" t="str">
        <f>IF(A128=" "," ",ROUND(H128/SUM('1、课程目标与考核方式'!$C$13:$G$13)*'1、课程目标与考核方式'!$I$13,0))</f>
        <v> </v>
      </c>
    </row>
    <row r="129" spans="1:9">
      <c r="A129" s="243" t="str">
        <f>IF(ISBLANK('3、期末成绩'!A129)," ",'3、期末成绩'!A129)</f>
        <v> </v>
      </c>
      <c r="B129" s="244" t="str">
        <f>IF(A129=" "," ",VLOOKUP(A129,'3、期末成绩'!$A$2:$B$201,2,FALSE))</f>
        <v> </v>
      </c>
      <c r="C129" s="426"/>
      <c r="D129" s="426"/>
      <c r="E129" s="426"/>
      <c r="F129" s="427"/>
      <c r="G129" s="427"/>
      <c r="H129" s="424" t="str">
        <f>IF(A129=" "," ",SUMPRODUCT($C129:$G129,'1、课程目标与考核方式'!$C$13:$G$13)/100)</f>
        <v> </v>
      </c>
      <c r="I129" s="424" t="str">
        <f>IF(A129=" "," ",ROUND(H129/SUM('1、课程目标与考核方式'!$C$13:$G$13)*'1、课程目标与考核方式'!$I$13,0))</f>
        <v> </v>
      </c>
    </row>
    <row r="130" spans="1:9">
      <c r="A130" s="243" t="str">
        <f>IF(ISBLANK('3、期末成绩'!A130)," ",'3、期末成绩'!A130)</f>
        <v> </v>
      </c>
      <c r="B130" s="244" t="str">
        <f>IF(A130=" "," ",VLOOKUP(A130,'3、期末成绩'!$A$2:$B$201,2,FALSE))</f>
        <v> </v>
      </c>
      <c r="C130" s="426"/>
      <c r="D130" s="426"/>
      <c r="E130" s="426"/>
      <c r="F130" s="427"/>
      <c r="G130" s="427"/>
      <c r="H130" s="424" t="str">
        <f>IF(A130=" "," ",SUMPRODUCT($C130:$G130,'1、课程目标与考核方式'!$C$13:$G$13)/100)</f>
        <v> </v>
      </c>
      <c r="I130" s="424" t="str">
        <f>IF(A130=" "," ",ROUND(H130/SUM('1、课程目标与考核方式'!$C$13:$G$13)*'1、课程目标与考核方式'!$I$13,0))</f>
        <v> </v>
      </c>
    </row>
    <row r="131" spans="1:9">
      <c r="A131" s="243" t="str">
        <f>IF(ISBLANK('3、期末成绩'!A131)," ",'3、期末成绩'!A131)</f>
        <v> </v>
      </c>
      <c r="B131" s="244" t="str">
        <f>IF(A131=" "," ",VLOOKUP(A131,'3、期末成绩'!$A$2:$B$201,2,FALSE))</f>
        <v> </v>
      </c>
      <c r="C131" s="426"/>
      <c r="D131" s="426"/>
      <c r="E131" s="426"/>
      <c r="F131" s="427"/>
      <c r="G131" s="427"/>
      <c r="H131" s="424" t="str">
        <f>IF(A131=" "," ",SUMPRODUCT($C131:$G131,'1、课程目标与考核方式'!$C$13:$G$13)/100)</f>
        <v> </v>
      </c>
      <c r="I131" s="424" t="str">
        <f>IF(A131=" "," ",ROUND(H131/SUM('1、课程目标与考核方式'!$C$13:$G$13)*'1、课程目标与考核方式'!$I$13,0))</f>
        <v> </v>
      </c>
    </row>
    <row r="132" spans="1:9">
      <c r="A132" s="243" t="str">
        <f>IF(ISBLANK('3、期末成绩'!A132)," ",'3、期末成绩'!A132)</f>
        <v> </v>
      </c>
      <c r="B132" s="244" t="str">
        <f>IF(A132=" "," ",VLOOKUP(A132,'3、期末成绩'!$A$2:$B$201,2,FALSE))</f>
        <v> </v>
      </c>
      <c r="C132" s="426"/>
      <c r="D132" s="426"/>
      <c r="E132" s="426"/>
      <c r="F132" s="427"/>
      <c r="G132" s="427"/>
      <c r="H132" s="424" t="str">
        <f>IF(A132=" "," ",SUMPRODUCT($C132:$G132,'1、课程目标与考核方式'!$C$13:$G$13)/100)</f>
        <v> </v>
      </c>
      <c r="I132" s="424" t="str">
        <f>IF(A132=" "," ",ROUND(H132/SUM('1、课程目标与考核方式'!$C$13:$G$13)*'1、课程目标与考核方式'!$I$13,0))</f>
        <v> </v>
      </c>
    </row>
    <row r="133" spans="1:9">
      <c r="A133" s="243" t="str">
        <f>IF(ISBLANK('3、期末成绩'!A133)," ",'3、期末成绩'!A133)</f>
        <v> </v>
      </c>
      <c r="B133" s="244" t="str">
        <f>IF(A133=" "," ",VLOOKUP(A133,'3、期末成绩'!$A$2:$B$201,2,FALSE))</f>
        <v> </v>
      </c>
      <c r="C133" s="426"/>
      <c r="D133" s="426"/>
      <c r="E133" s="426"/>
      <c r="F133" s="427"/>
      <c r="G133" s="427"/>
      <c r="H133" s="424" t="str">
        <f>IF(A133=" "," ",SUMPRODUCT($C133:$G133,'1、课程目标与考核方式'!$C$13:$G$13)/100)</f>
        <v> </v>
      </c>
      <c r="I133" s="424" t="str">
        <f>IF(A133=" "," ",ROUND(H133/SUM('1、课程目标与考核方式'!$C$13:$G$13)*'1、课程目标与考核方式'!$I$13,0))</f>
        <v> </v>
      </c>
    </row>
    <row r="134" spans="1:9">
      <c r="A134" s="243" t="str">
        <f>IF(ISBLANK('3、期末成绩'!A134)," ",'3、期末成绩'!A134)</f>
        <v> </v>
      </c>
      <c r="B134" s="244" t="str">
        <f>IF(A134=" "," ",VLOOKUP(A134,'3、期末成绩'!$A$2:$B$201,2,FALSE))</f>
        <v> </v>
      </c>
      <c r="C134" s="426"/>
      <c r="D134" s="426"/>
      <c r="E134" s="426"/>
      <c r="F134" s="427"/>
      <c r="G134" s="427"/>
      <c r="H134" s="424" t="str">
        <f>IF(A134=" "," ",SUMPRODUCT($C134:$G134,'1、课程目标与考核方式'!$C$13:$G$13)/100)</f>
        <v> </v>
      </c>
      <c r="I134" s="424" t="str">
        <f>IF(A134=" "," ",ROUND(H134/SUM('1、课程目标与考核方式'!$C$13:$G$13)*'1、课程目标与考核方式'!$I$13,0))</f>
        <v> </v>
      </c>
    </row>
    <row r="135" spans="1:9">
      <c r="A135" s="243" t="str">
        <f>IF(ISBLANK('3、期末成绩'!A135)," ",'3、期末成绩'!A135)</f>
        <v> </v>
      </c>
      <c r="B135" s="244" t="str">
        <f>IF(A135=" "," ",VLOOKUP(A135,'3、期末成绩'!$A$2:$B$201,2,FALSE))</f>
        <v> </v>
      </c>
      <c r="C135" s="426"/>
      <c r="D135" s="426"/>
      <c r="E135" s="426"/>
      <c r="F135" s="427"/>
      <c r="G135" s="427"/>
      <c r="H135" s="424" t="str">
        <f>IF(A135=" "," ",SUMPRODUCT($C135:$G135,'1、课程目标与考核方式'!$C$13:$G$13)/100)</f>
        <v> </v>
      </c>
      <c r="I135" s="424" t="str">
        <f>IF(A135=" "," ",ROUND(H135/SUM('1、课程目标与考核方式'!$C$13:$G$13)*'1、课程目标与考核方式'!$I$13,0))</f>
        <v> </v>
      </c>
    </row>
    <row r="136" spans="1:9">
      <c r="A136" s="243" t="str">
        <f>IF(ISBLANK('3、期末成绩'!A136)," ",'3、期末成绩'!A136)</f>
        <v> </v>
      </c>
      <c r="B136" s="244" t="str">
        <f>IF(A136=" "," ",VLOOKUP(A136,'3、期末成绩'!$A$2:$B$201,2,FALSE))</f>
        <v> </v>
      </c>
      <c r="C136" s="426"/>
      <c r="D136" s="426"/>
      <c r="E136" s="426"/>
      <c r="F136" s="427"/>
      <c r="G136" s="427"/>
      <c r="H136" s="424" t="str">
        <f>IF(A136=" "," ",SUMPRODUCT($C136:$G136,'1、课程目标与考核方式'!$C$13:$G$13)/100)</f>
        <v> </v>
      </c>
      <c r="I136" s="424" t="str">
        <f>IF(A136=" "," ",ROUND(H136/SUM('1、课程目标与考核方式'!$C$13:$G$13)*'1、课程目标与考核方式'!$I$13,0))</f>
        <v> </v>
      </c>
    </row>
    <row r="137" spans="1:9">
      <c r="A137" s="243" t="str">
        <f>IF(ISBLANK('3、期末成绩'!A137)," ",'3、期末成绩'!A137)</f>
        <v> </v>
      </c>
      <c r="B137" s="244" t="str">
        <f>IF(A137=" "," ",VLOOKUP(A137,'3、期末成绩'!$A$2:$B$201,2,FALSE))</f>
        <v> </v>
      </c>
      <c r="C137" s="426"/>
      <c r="D137" s="426"/>
      <c r="E137" s="426"/>
      <c r="F137" s="427"/>
      <c r="G137" s="427"/>
      <c r="H137" s="424" t="str">
        <f>IF(A137=" "," ",SUMPRODUCT($C137:$G137,'1、课程目标与考核方式'!$C$13:$G$13)/100)</f>
        <v> </v>
      </c>
      <c r="I137" s="424" t="str">
        <f>IF(A137=" "," ",ROUND(H137/SUM('1、课程目标与考核方式'!$C$13:$G$13)*'1、课程目标与考核方式'!$I$13,0))</f>
        <v> </v>
      </c>
    </row>
    <row r="138" spans="1:9">
      <c r="A138" s="243" t="str">
        <f>IF(ISBLANK('3、期末成绩'!A138)," ",'3、期末成绩'!A138)</f>
        <v> </v>
      </c>
      <c r="B138" s="244" t="str">
        <f>IF(A138=" "," ",VLOOKUP(A138,'3、期末成绩'!$A$2:$B$201,2,FALSE))</f>
        <v> </v>
      </c>
      <c r="C138" s="426"/>
      <c r="D138" s="426"/>
      <c r="E138" s="426"/>
      <c r="F138" s="427"/>
      <c r="G138" s="427"/>
      <c r="H138" s="424" t="str">
        <f>IF(A138=" "," ",SUMPRODUCT($C138:$G138,'1、课程目标与考核方式'!$C$13:$G$13)/100)</f>
        <v> </v>
      </c>
      <c r="I138" s="424" t="str">
        <f>IF(A138=" "," ",ROUND(H138/SUM('1、课程目标与考核方式'!$C$13:$G$13)*'1、课程目标与考核方式'!$I$13,0))</f>
        <v> </v>
      </c>
    </row>
    <row r="139" spans="1:9">
      <c r="A139" s="243" t="str">
        <f>IF(ISBLANK('3、期末成绩'!A139)," ",'3、期末成绩'!A139)</f>
        <v> </v>
      </c>
      <c r="B139" s="244" t="str">
        <f>IF(A139=" "," ",VLOOKUP(A139,'3、期末成绩'!$A$2:$B$201,2,FALSE))</f>
        <v> </v>
      </c>
      <c r="C139" s="426"/>
      <c r="D139" s="426"/>
      <c r="E139" s="426"/>
      <c r="F139" s="427"/>
      <c r="G139" s="427"/>
      <c r="H139" s="424" t="str">
        <f>IF(A139=" "," ",SUMPRODUCT($C139:$G139,'1、课程目标与考核方式'!$C$13:$G$13)/100)</f>
        <v> </v>
      </c>
      <c r="I139" s="424" t="str">
        <f>IF(A139=" "," ",ROUND(H139/SUM('1、课程目标与考核方式'!$C$13:$G$13)*'1、课程目标与考核方式'!$I$13,0))</f>
        <v> </v>
      </c>
    </row>
    <row r="140" spans="1:9">
      <c r="A140" s="243" t="str">
        <f>IF(ISBLANK('3、期末成绩'!A140)," ",'3、期末成绩'!A140)</f>
        <v> </v>
      </c>
      <c r="B140" s="244" t="str">
        <f>IF(A140=" "," ",VLOOKUP(A140,'3、期末成绩'!$A$2:$B$201,2,FALSE))</f>
        <v> </v>
      </c>
      <c r="C140" s="426"/>
      <c r="D140" s="426"/>
      <c r="E140" s="426"/>
      <c r="F140" s="427"/>
      <c r="G140" s="427"/>
      <c r="H140" s="424" t="str">
        <f>IF(A140=" "," ",SUMPRODUCT($C140:$G140,'1、课程目标与考核方式'!$C$13:$G$13)/100)</f>
        <v> </v>
      </c>
      <c r="I140" s="424" t="str">
        <f>IF(A140=" "," ",ROUND(H140/SUM('1、课程目标与考核方式'!$C$13:$G$13)*'1、课程目标与考核方式'!$I$13,0))</f>
        <v> </v>
      </c>
    </row>
    <row r="141" spans="1:9">
      <c r="A141" s="243" t="str">
        <f>IF(ISBLANK('3、期末成绩'!A141)," ",'3、期末成绩'!A141)</f>
        <v> </v>
      </c>
      <c r="B141" s="244" t="str">
        <f>IF(A141=" "," ",VLOOKUP(A141,'3、期末成绩'!$A$2:$B$201,2,FALSE))</f>
        <v> </v>
      </c>
      <c r="C141" s="426"/>
      <c r="D141" s="426"/>
      <c r="E141" s="426"/>
      <c r="F141" s="427"/>
      <c r="G141" s="427"/>
      <c r="H141" s="424" t="str">
        <f>IF(A141=" "," ",SUMPRODUCT($C141:$G141,'1、课程目标与考核方式'!$C$13:$G$13)/100)</f>
        <v> </v>
      </c>
      <c r="I141" s="424" t="str">
        <f>IF(A141=" "," ",ROUND(H141/SUM('1、课程目标与考核方式'!$C$13:$G$13)*'1、课程目标与考核方式'!$I$13,0))</f>
        <v> </v>
      </c>
    </row>
    <row r="142" spans="1:9">
      <c r="A142" s="243" t="str">
        <f>IF(ISBLANK('3、期末成绩'!A142)," ",'3、期末成绩'!A142)</f>
        <v> </v>
      </c>
      <c r="B142" s="244" t="str">
        <f>IF(A142=" "," ",VLOOKUP(A142,'3、期末成绩'!$A$2:$B$201,2,FALSE))</f>
        <v> </v>
      </c>
      <c r="C142" s="426"/>
      <c r="D142" s="426"/>
      <c r="E142" s="426"/>
      <c r="F142" s="427"/>
      <c r="G142" s="427"/>
      <c r="H142" s="424" t="str">
        <f>IF(A142=" "," ",SUMPRODUCT($C142:$G142,'1、课程目标与考核方式'!$C$13:$G$13)/100)</f>
        <v> </v>
      </c>
      <c r="I142" s="424" t="str">
        <f>IF(A142=" "," ",ROUND(H142/SUM('1、课程目标与考核方式'!$C$13:$G$13)*'1、课程目标与考核方式'!$I$13,0))</f>
        <v> </v>
      </c>
    </row>
    <row r="143" spans="1:9">
      <c r="A143" s="243" t="str">
        <f>IF(ISBLANK('3、期末成绩'!A143)," ",'3、期末成绩'!A143)</f>
        <v> </v>
      </c>
      <c r="B143" s="244" t="str">
        <f>IF(A143=" "," ",VLOOKUP(A143,'3、期末成绩'!$A$2:$B$201,2,FALSE))</f>
        <v> </v>
      </c>
      <c r="C143" s="426"/>
      <c r="D143" s="426"/>
      <c r="E143" s="426"/>
      <c r="F143" s="427"/>
      <c r="G143" s="427"/>
      <c r="H143" s="424" t="str">
        <f>IF(A143=" "," ",SUMPRODUCT($C143:$G143,'1、课程目标与考核方式'!$C$13:$G$13)/100)</f>
        <v> </v>
      </c>
      <c r="I143" s="424" t="str">
        <f>IF(A143=" "," ",ROUND(H143/SUM('1、课程目标与考核方式'!$C$13:$G$13)*'1、课程目标与考核方式'!$I$13,0))</f>
        <v> </v>
      </c>
    </row>
    <row r="144" spans="1:9">
      <c r="A144" s="243" t="str">
        <f>IF(ISBLANK('3、期末成绩'!A144)," ",'3、期末成绩'!A144)</f>
        <v> </v>
      </c>
      <c r="B144" s="244" t="str">
        <f>IF(A144=" "," ",VLOOKUP(A144,'3、期末成绩'!$A$2:$B$201,2,FALSE))</f>
        <v> </v>
      </c>
      <c r="C144" s="426"/>
      <c r="D144" s="426"/>
      <c r="E144" s="426"/>
      <c r="F144" s="427"/>
      <c r="G144" s="427"/>
      <c r="H144" s="424" t="str">
        <f>IF(A144=" "," ",SUMPRODUCT($C144:$G144,'1、课程目标与考核方式'!$C$13:$G$13)/100)</f>
        <v> </v>
      </c>
      <c r="I144" s="424" t="str">
        <f>IF(A144=" "," ",ROUND(H144/SUM('1、课程目标与考核方式'!$C$13:$G$13)*'1、课程目标与考核方式'!$I$13,0))</f>
        <v> </v>
      </c>
    </row>
    <row r="145" spans="1:9">
      <c r="A145" s="243" t="str">
        <f>IF(ISBLANK('3、期末成绩'!A145)," ",'3、期末成绩'!A145)</f>
        <v> </v>
      </c>
      <c r="B145" s="244" t="str">
        <f>IF(A145=" "," ",VLOOKUP(A145,'3、期末成绩'!$A$2:$B$201,2,FALSE))</f>
        <v> </v>
      </c>
      <c r="C145" s="426"/>
      <c r="D145" s="426"/>
      <c r="E145" s="426"/>
      <c r="F145" s="427"/>
      <c r="G145" s="427"/>
      <c r="H145" s="424" t="str">
        <f>IF(A145=" "," ",SUMPRODUCT($C145:$G145,'1、课程目标与考核方式'!$C$13:$G$13)/100)</f>
        <v> </v>
      </c>
      <c r="I145" s="424" t="str">
        <f>IF(A145=" "," ",ROUND(H145/SUM('1、课程目标与考核方式'!$C$13:$G$13)*'1、课程目标与考核方式'!$I$13,0))</f>
        <v> </v>
      </c>
    </row>
    <row r="146" spans="1:9">
      <c r="A146" s="243" t="str">
        <f>IF(ISBLANK('3、期末成绩'!A146)," ",'3、期末成绩'!A146)</f>
        <v> </v>
      </c>
      <c r="B146" s="244" t="str">
        <f>IF(A146=" "," ",VLOOKUP(A146,'3、期末成绩'!$A$2:$B$201,2,FALSE))</f>
        <v> </v>
      </c>
      <c r="C146" s="426"/>
      <c r="D146" s="426"/>
      <c r="E146" s="426"/>
      <c r="F146" s="427"/>
      <c r="G146" s="427"/>
      <c r="H146" s="424" t="str">
        <f>IF(A146=" "," ",SUMPRODUCT($C146:$G146,'1、课程目标与考核方式'!$C$13:$G$13)/100)</f>
        <v> </v>
      </c>
      <c r="I146" s="424" t="str">
        <f>IF(A146=" "," ",ROUND(H146/SUM('1、课程目标与考核方式'!$C$13:$G$13)*'1、课程目标与考核方式'!$I$13,0))</f>
        <v> </v>
      </c>
    </row>
    <row r="147" spans="1:9">
      <c r="A147" s="243" t="str">
        <f>IF(ISBLANK('3、期末成绩'!A147)," ",'3、期末成绩'!A147)</f>
        <v> </v>
      </c>
      <c r="B147" s="244" t="str">
        <f>IF(A147=" "," ",VLOOKUP(A147,'3、期末成绩'!$A$2:$B$201,2,FALSE))</f>
        <v> </v>
      </c>
      <c r="C147" s="426"/>
      <c r="D147" s="426"/>
      <c r="E147" s="426"/>
      <c r="F147" s="427"/>
      <c r="G147" s="427"/>
      <c r="H147" s="424" t="str">
        <f>IF(A147=" "," ",SUMPRODUCT($C147:$G147,'1、课程目标与考核方式'!$C$13:$G$13)/100)</f>
        <v> </v>
      </c>
      <c r="I147" s="424" t="str">
        <f>IF(A147=" "," ",ROUND(H147/SUM('1、课程目标与考核方式'!$C$13:$G$13)*'1、课程目标与考核方式'!$I$13,0))</f>
        <v> </v>
      </c>
    </row>
    <row r="148" spans="1:9">
      <c r="A148" s="243" t="str">
        <f>IF(ISBLANK('3、期末成绩'!A148)," ",'3、期末成绩'!A148)</f>
        <v> </v>
      </c>
      <c r="B148" s="244" t="str">
        <f>IF(A148=" "," ",VLOOKUP(A148,'3、期末成绩'!$A$2:$B$201,2,FALSE))</f>
        <v> </v>
      </c>
      <c r="C148" s="426"/>
      <c r="D148" s="426"/>
      <c r="E148" s="426"/>
      <c r="F148" s="427"/>
      <c r="G148" s="427"/>
      <c r="H148" s="424" t="str">
        <f>IF(A148=" "," ",SUMPRODUCT($C148:$G148,'1、课程目标与考核方式'!$C$13:$G$13)/100)</f>
        <v> </v>
      </c>
      <c r="I148" s="424" t="str">
        <f>IF(A148=" "," ",ROUND(H148/SUM('1、课程目标与考核方式'!$C$13:$G$13)*'1、课程目标与考核方式'!$I$13,0))</f>
        <v> </v>
      </c>
    </row>
    <row r="149" spans="1:9">
      <c r="A149" s="243" t="str">
        <f>IF(ISBLANK('3、期末成绩'!A149)," ",'3、期末成绩'!A149)</f>
        <v> </v>
      </c>
      <c r="B149" s="244" t="str">
        <f>IF(A149=" "," ",VLOOKUP(A149,'3、期末成绩'!$A$2:$B$201,2,FALSE))</f>
        <v> </v>
      </c>
      <c r="C149" s="426"/>
      <c r="D149" s="426"/>
      <c r="E149" s="426"/>
      <c r="F149" s="427"/>
      <c r="G149" s="427"/>
      <c r="H149" s="424" t="str">
        <f>IF(A149=" "," ",SUMPRODUCT($C149:$G149,'1、课程目标与考核方式'!$C$13:$G$13)/100)</f>
        <v> </v>
      </c>
      <c r="I149" s="424" t="str">
        <f>IF(A149=" "," ",ROUND(H149/SUM('1、课程目标与考核方式'!$C$13:$G$13)*'1、课程目标与考核方式'!$I$13,0))</f>
        <v> </v>
      </c>
    </row>
    <row r="150" spans="1:9">
      <c r="A150" s="243" t="str">
        <f>IF(ISBLANK('3、期末成绩'!A150)," ",'3、期末成绩'!A150)</f>
        <v> </v>
      </c>
      <c r="B150" s="244" t="str">
        <f>IF(A150=" "," ",VLOOKUP(A150,'3、期末成绩'!$A$2:$B$201,2,FALSE))</f>
        <v> </v>
      </c>
      <c r="C150" s="426"/>
      <c r="D150" s="426"/>
      <c r="E150" s="426"/>
      <c r="F150" s="427"/>
      <c r="G150" s="427"/>
      <c r="H150" s="424" t="str">
        <f>IF(A150=" "," ",SUMPRODUCT($C150:$G150,'1、课程目标与考核方式'!$C$13:$G$13)/100)</f>
        <v> </v>
      </c>
      <c r="I150" s="424" t="str">
        <f>IF(A150=" "," ",ROUND(H150/SUM('1、课程目标与考核方式'!$C$13:$G$13)*'1、课程目标与考核方式'!$I$13,0))</f>
        <v> </v>
      </c>
    </row>
    <row r="151" spans="1:9">
      <c r="A151" s="243" t="str">
        <f>IF(ISBLANK('3、期末成绩'!A151)," ",'3、期末成绩'!A151)</f>
        <v> </v>
      </c>
      <c r="B151" s="244" t="str">
        <f>IF(A151=" "," ",VLOOKUP(A151,'3、期末成绩'!$A$2:$B$201,2,FALSE))</f>
        <v> </v>
      </c>
      <c r="C151" s="426"/>
      <c r="D151" s="426"/>
      <c r="E151" s="426"/>
      <c r="F151" s="427"/>
      <c r="G151" s="427"/>
      <c r="H151" s="424" t="str">
        <f>IF(A151=" "," ",SUMPRODUCT($C151:$G151,'1、课程目标与考核方式'!$C$13:$G$13)/100)</f>
        <v> </v>
      </c>
      <c r="I151" s="424" t="str">
        <f>IF(A151=" "," ",ROUND(H151/SUM('1、课程目标与考核方式'!$C$13:$G$13)*'1、课程目标与考核方式'!$I$13,0))</f>
        <v> </v>
      </c>
    </row>
    <row r="152" spans="1:9">
      <c r="A152" s="243" t="str">
        <f>IF(ISBLANK('3、期末成绩'!A152)," ",'3、期末成绩'!A152)</f>
        <v> </v>
      </c>
      <c r="B152" s="244" t="str">
        <f>IF(A152=" "," ",VLOOKUP(A152,'3、期末成绩'!$A$2:$B$201,2,FALSE))</f>
        <v> </v>
      </c>
      <c r="C152" s="426"/>
      <c r="D152" s="426"/>
      <c r="E152" s="426"/>
      <c r="F152" s="427"/>
      <c r="G152" s="427"/>
      <c r="H152" s="424" t="str">
        <f>IF(A152=" "," ",SUMPRODUCT($C152:$G152,'1、课程目标与考核方式'!$C$13:$G$13)/100)</f>
        <v> </v>
      </c>
      <c r="I152" s="424" t="str">
        <f>IF(A152=" "," ",ROUND(H152/SUM('1、课程目标与考核方式'!$C$13:$G$13)*'1、课程目标与考核方式'!$I$13,0))</f>
        <v> </v>
      </c>
    </row>
    <row r="153" spans="1:9">
      <c r="A153" s="243" t="str">
        <f>IF(ISBLANK('3、期末成绩'!A153)," ",'3、期末成绩'!A153)</f>
        <v> </v>
      </c>
      <c r="B153" s="244" t="str">
        <f>IF(A153=" "," ",VLOOKUP(A153,'3、期末成绩'!$A$2:$B$201,2,FALSE))</f>
        <v> </v>
      </c>
      <c r="C153" s="426"/>
      <c r="D153" s="426"/>
      <c r="E153" s="426"/>
      <c r="F153" s="427"/>
      <c r="G153" s="427"/>
      <c r="H153" s="424" t="str">
        <f>IF(A153=" "," ",SUMPRODUCT($C153:$G153,'1、课程目标与考核方式'!$C$13:$G$13)/100)</f>
        <v> </v>
      </c>
      <c r="I153" s="424" t="str">
        <f>IF(A153=" "," ",ROUND(H153/SUM('1、课程目标与考核方式'!$C$13:$G$13)*'1、课程目标与考核方式'!$I$13,0))</f>
        <v> </v>
      </c>
    </row>
    <row r="154" spans="1:9">
      <c r="A154" s="243" t="str">
        <f>IF(ISBLANK('3、期末成绩'!A154)," ",'3、期末成绩'!A154)</f>
        <v> </v>
      </c>
      <c r="B154" s="244" t="str">
        <f>IF(A154=" "," ",VLOOKUP(A154,'3、期末成绩'!$A$2:$B$201,2,FALSE))</f>
        <v> </v>
      </c>
      <c r="C154" s="426"/>
      <c r="D154" s="426"/>
      <c r="E154" s="426"/>
      <c r="F154" s="427"/>
      <c r="G154" s="427"/>
      <c r="H154" s="424" t="str">
        <f>IF(A154=" "," ",SUMPRODUCT($C154:$G154,'1、课程目标与考核方式'!$C$13:$G$13)/100)</f>
        <v> </v>
      </c>
      <c r="I154" s="424" t="str">
        <f>IF(A154=" "," ",ROUND(H154/SUM('1、课程目标与考核方式'!$C$13:$G$13)*'1、课程目标与考核方式'!$I$13,0))</f>
        <v> </v>
      </c>
    </row>
    <row r="155" spans="1:9">
      <c r="A155" s="243" t="str">
        <f>IF(ISBLANK('3、期末成绩'!A155)," ",'3、期末成绩'!A155)</f>
        <v> </v>
      </c>
      <c r="B155" s="244" t="str">
        <f>IF(A155=" "," ",VLOOKUP(A155,'3、期末成绩'!$A$2:$B$201,2,FALSE))</f>
        <v> </v>
      </c>
      <c r="C155" s="426"/>
      <c r="D155" s="426"/>
      <c r="E155" s="426"/>
      <c r="F155" s="427"/>
      <c r="G155" s="427"/>
      <c r="H155" s="424" t="str">
        <f>IF(A155=" "," ",SUMPRODUCT($C155:$G155,'1、课程目标与考核方式'!$C$13:$G$13)/100)</f>
        <v> </v>
      </c>
      <c r="I155" s="424" t="str">
        <f>IF(A155=" "," ",ROUND(H155/SUM('1、课程目标与考核方式'!$C$13:$G$13)*'1、课程目标与考核方式'!$I$13,0))</f>
        <v> </v>
      </c>
    </row>
    <row r="156" spans="1:9">
      <c r="A156" s="243" t="str">
        <f>IF(ISBLANK('3、期末成绩'!A156)," ",'3、期末成绩'!A156)</f>
        <v> </v>
      </c>
      <c r="B156" s="244" t="str">
        <f>IF(A156=" "," ",VLOOKUP(A156,'3、期末成绩'!$A$2:$B$201,2,FALSE))</f>
        <v> </v>
      </c>
      <c r="C156" s="426"/>
      <c r="D156" s="426"/>
      <c r="E156" s="426"/>
      <c r="F156" s="427"/>
      <c r="G156" s="427"/>
      <c r="H156" s="424" t="str">
        <f>IF(A156=" "," ",SUMPRODUCT($C156:$G156,'1、课程目标与考核方式'!$C$13:$G$13)/100)</f>
        <v> </v>
      </c>
      <c r="I156" s="424" t="str">
        <f>IF(A156=" "," ",ROUND(H156/SUM('1、课程目标与考核方式'!$C$13:$G$13)*'1、课程目标与考核方式'!$I$13,0))</f>
        <v> </v>
      </c>
    </row>
    <row r="157" spans="1:9">
      <c r="A157" s="243" t="str">
        <f>IF(ISBLANK('3、期末成绩'!A157)," ",'3、期末成绩'!A157)</f>
        <v> </v>
      </c>
      <c r="B157" s="244" t="str">
        <f>IF(A157=" "," ",VLOOKUP(A157,'3、期末成绩'!$A$2:$B$201,2,FALSE))</f>
        <v> </v>
      </c>
      <c r="C157" s="426"/>
      <c r="D157" s="426"/>
      <c r="E157" s="426"/>
      <c r="F157" s="427"/>
      <c r="G157" s="427"/>
      <c r="H157" s="424" t="str">
        <f>IF(A157=" "," ",SUMPRODUCT($C157:$G157,'1、课程目标与考核方式'!$C$13:$G$13)/100)</f>
        <v> </v>
      </c>
      <c r="I157" s="424" t="str">
        <f>IF(A157=" "," ",ROUND(H157/SUM('1、课程目标与考核方式'!$C$13:$G$13)*'1、课程目标与考核方式'!$I$13,0))</f>
        <v> </v>
      </c>
    </row>
    <row r="158" spans="1:9">
      <c r="A158" s="243" t="str">
        <f>IF(ISBLANK('3、期末成绩'!A158)," ",'3、期末成绩'!A158)</f>
        <v> </v>
      </c>
      <c r="B158" s="244" t="str">
        <f>IF(A158=" "," ",VLOOKUP(A158,'3、期末成绩'!$A$2:$B$201,2,FALSE))</f>
        <v> </v>
      </c>
      <c r="C158" s="426"/>
      <c r="D158" s="426"/>
      <c r="E158" s="426"/>
      <c r="F158" s="427"/>
      <c r="G158" s="427"/>
      <c r="H158" s="424" t="str">
        <f>IF(A158=" "," ",SUMPRODUCT($C158:$G158,'1、课程目标与考核方式'!$C$13:$G$13)/100)</f>
        <v> </v>
      </c>
      <c r="I158" s="424" t="str">
        <f>IF(A158=" "," ",ROUND(H158/SUM('1、课程目标与考核方式'!$C$13:$G$13)*'1、课程目标与考核方式'!$I$13,0))</f>
        <v> </v>
      </c>
    </row>
    <row r="159" spans="1:9">
      <c r="A159" s="243" t="str">
        <f>IF(ISBLANK('3、期末成绩'!A159)," ",'3、期末成绩'!A159)</f>
        <v> </v>
      </c>
      <c r="B159" s="244" t="str">
        <f>IF(A159=" "," ",VLOOKUP(A159,'3、期末成绩'!$A$2:$B$201,2,FALSE))</f>
        <v> </v>
      </c>
      <c r="C159" s="426"/>
      <c r="D159" s="426"/>
      <c r="E159" s="426"/>
      <c r="F159" s="427"/>
      <c r="G159" s="427"/>
      <c r="H159" s="424" t="str">
        <f>IF(A159=" "," ",SUMPRODUCT($C159:$G159,'1、课程目标与考核方式'!$C$13:$G$13)/100)</f>
        <v> </v>
      </c>
      <c r="I159" s="424" t="str">
        <f>IF(A159=" "," ",ROUND(H159/SUM('1、课程目标与考核方式'!$C$13:$G$13)*'1、课程目标与考核方式'!$I$13,0))</f>
        <v> </v>
      </c>
    </row>
    <row r="160" spans="1:9">
      <c r="A160" s="243" t="str">
        <f>IF(ISBLANK('3、期末成绩'!A160)," ",'3、期末成绩'!A160)</f>
        <v> </v>
      </c>
      <c r="B160" s="244" t="str">
        <f>IF(A160=" "," ",VLOOKUP(A160,'3、期末成绩'!$A$2:$B$201,2,FALSE))</f>
        <v> </v>
      </c>
      <c r="C160" s="426"/>
      <c r="D160" s="426"/>
      <c r="E160" s="426"/>
      <c r="F160" s="427"/>
      <c r="G160" s="427"/>
      <c r="H160" s="424" t="str">
        <f>IF(A160=" "," ",SUMPRODUCT($C160:$G160,'1、课程目标与考核方式'!$C$13:$G$13)/100)</f>
        <v> </v>
      </c>
      <c r="I160" s="424" t="str">
        <f>IF(A160=" "," ",ROUND(H160/SUM('1、课程目标与考核方式'!$C$13:$G$13)*'1、课程目标与考核方式'!$I$13,0))</f>
        <v> </v>
      </c>
    </row>
    <row r="161" spans="1:9">
      <c r="A161" s="243" t="str">
        <f>IF(ISBLANK('3、期末成绩'!A161)," ",'3、期末成绩'!A161)</f>
        <v> </v>
      </c>
      <c r="B161" s="244" t="str">
        <f>IF(A161=" "," ",VLOOKUP(A161,'3、期末成绩'!$A$2:$B$201,2,FALSE))</f>
        <v> </v>
      </c>
      <c r="C161" s="426"/>
      <c r="D161" s="426"/>
      <c r="E161" s="426"/>
      <c r="F161" s="427"/>
      <c r="G161" s="427"/>
      <c r="H161" s="424" t="str">
        <f>IF(A161=" "," ",SUMPRODUCT($C161:$G161,'1、课程目标与考核方式'!$C$13:$G$13)/100)</f>
        <v> </v>
      </c>
      <c r="I161" s="424" t="str">
        <f>IF(A161=" "," ",ROUND(H161/SUM('1、课程目标与考核方式'!$C$13:$G$13)*'1、课程目标与考核方式'!$I$13,0))</f>
        <v> </v>
      </c>
    </row>
    <row r="162" spans="1:9">
      <c r="A162" s="243" t="str">
        <f>IF(ISBLANK('3、期末成绩'!A162)," ",'3、期末成绩'!A162)</f>
        <v> </v>
      </c>
      <c r="B162" s="244" t="str">
        <f>IF(A162=" "," ",VLOOKUP(A162,'3、期末成绩'!$A$2:$B$201,2,FALSE))</f>
        <v> </v>
      </c>
      <c r="C162" s="426"/>
      <c r="D162" s="426"/>
      <c r="E162" s="426"/>
      <c r="F162" s="427"/>
      <c r="G162" s="427"/>
      <c r="H162" s="424" t="str">
        <f>IF(A162=" "," ",SUMPRODUCT($C162:$G162,'1、课程目标与考核方式'!$C$13:$G$13)/100)</f>
        <v> </v>
      </c>
      <c r="I162" s="424" t="str">
        <f>IF(A162=" "," ",ROUND(H162/SUM('1、课程目标与考核方式'!$C$13:$G$13)*'1、课程目标与考核方式'!$I$13,0))</f>
        <v> </v>
      </c>
    </row>
    <row r="163" spans="1:9">
      <c r="A163" s="243" t="str">
        <f>IF(ISBLANK('3、期末成绩'!A163)," ",'3、期末成绩'!A163)</f>
        <v> </v>
      </c>
      <c r="B163" s="244" t="str">
        <f>IF(A163=" "," ",VLOOKUP(A163,'3、期末成绩'!$A$2:$B$201,2,FALSE))</f>
        <v> </v>
      </c>
      <c r="C163" s="426"/>
      <c r="D163" s="426"/>
      <c r="E163" s="426"/>
      <c r="F163" s="427"/>
      <c r="G163" s="427"/>
      <c r="H163" s="424" t="str">
        <f>IF(A163=" "," ",SUMPRODUCT($C163:$G163,'1、课程目标与考核方式'!$C$13:$G$13)/100)</f>
        <v> </v>
      </c>
      <c r="I163" s="424" t="str">
        <f>IF(A163=" "," ",ROUND(H163/SUM('1、课程目标与考核方式'!$C$13:$G$13)*'1、课程目标与考核方式'!$I$13,0))</f>
        <v> </v>
      </c>
    </row>
    <row r="164" spans="1:9">
      <c r="A164" s="243" t="str">
        <f>IF(ISBLANK('3、期末成绩'!A164)," ",'3、期末成绩'!A164)</f>
        <v> </v>
      </c>
      <c r="B164" s="244" t="str">
        <f>IF(A164=" "," ",VLOOKUP(A164,'3、期末成绩'!$A$2:$B$201,2,FALSE))</f>
        <v> </v>
      </c>
      <c r="C164" s="426"/>
      <c r="D164" s="426"/>
      <c r="E164" s="426"/>
      <c r="F164" s="427"/>
      <c r="G164" s="427"/>
      <c r="H164" s="424" t="str">
        <f>IF(A164=" "," ",SUMPRODUCT($C164:$G164,'1、课程目标与考核方式'!$C$13:$G$13)/100)</f>
        <v> </v>
      </c>
      <c r="I164" s="424" t="str">
        <f>IF(A164=" "," ",ROUND(H164/SUM('1、课程目标与考核方式'!$C$13:$G$13)*'1、课程目标与考核方式'!$I$13,0))</f>
        <v> </v>
      </c>
    </row>
    <row r="165" spans="1:9">
      <c r="A165" s="243" t="str">
        <f>IF(ISBLANK('3、期末成绩'!A165)," ",'3、期末成绩'!A165)</f>
        <v> </v>
      </c>
      <c r="B165" s="244" t="str">
        <f>IF(A165=" "," ",VLOOKUP(A165,'3、期末成绩'!$A$2:$B$201,2,FALSE))</f>
        <v> </v>
      </c>
      <c r="C165" s="426"/>
      <c r="D165" s="426"/>
      <c r="E165" s="426"/>
      <c r="F165" s="427"/>
      <c r="G165" s="427"/>
      <c r="H165" s="424" t="str">
        <f>IF(A165=" "," ",SUMPRODUCT($C165:$G165,'1、课程目标与考核方式'!$C$13:$G$13)/100)</f>
        <v> </v>
      </c>
      <c r="I165" s="424" t="str">
        <f>IF(A165=" "," ",ROUND(H165/SUM('1、课程目标与考核方式'!$C$13:$G$13)*'1、课程目标与考核方式'!$I$13,0))</f>
        <v> </v>
      </c>
    </row>
    <row r="166" spans="1:9">
      <c r="A166" s="243" t="str">
        <f>IF(ISBLANK('3、期末成绩'!A166)," ",'3、期末成绩'!A166)</f>
        <v> </v>
      </c>
      <c r="B166" s="244" t="str">
        <f>IF(A166=" "," ",VLOOKUP(A166,'3、期末成绩'!$A$2:$B$201,2,FALSE))</f>
        <v> </v>
      </c>
      <c r="C166" s="426"/>
      <c r="D166" s="426"/>
      <c r="E166" s="426"/>
      <c r="F166" s="427"/>
      <c r="G166" s="427"/>
      <c r="H166" s="424" t="str">
        <f>IF(A166=" "," ",SUMPRODUCT($C166:$G166,'1、课程目标与考核方式'!$C$13:$G$13)/100)</f>
        <v> </v>
      </c>
      <c r="I166" s="424" t="str">
        <f>IF(A166=" "," ",ROUND(H166/SUM('1、课程目标与考核方式'!$C$13:$G$13)*'1、课程目标与考核方式'!$I$13,0))</f>
        <v> </v>
      </c>
    </row>
    <row r="167" spans="1:9">
      <c r="A167" s="243" t="str">
        <f>IF(ISBLANK('3、期末成绩'!A167)," ",'3、期末成绩'!A167)</f>
        <v> </v>
      </c>
      <c r="B167" s="244" t="str">
        <f>IF(A167=" "," ",VLOOKUP(A167,'3、期末成绩'!$A$2:$B$201,2,FALSE))</f>
        <v> </v>
      </c>
      <c r="C167" s="426"/>
      <c r="D167" s="426"/>
      <c r="E167" s="426"/>
      <c r="F167" s="427"/>
      <c r="G167" s="427"/>
      <c r="H167" s="424" t="str">
        <f>IF(A167=" "," ",SUMPRODUCT($C167:$G167,'1、课程目标与考核方式'!$C$13:$G$13)/100)</f>
        <v> </v>
      </c>
      <c r="I167" s="424" t="str">
        <f>IF(A167=" "," ",ROUND(H167/SUM('1、课程目标与考核方式'!$C$13:$G$13)*'1、课程目标与考核方式'!$I$13,0))</f>
        <v> </v>
      </c>
    </row>
    <row r="168" spans="1:9">
      <c r="A168" s="243" t="str">
        <f>IF(ISBLANK('3、期末成绩'!A168)," ",'3、期末成绩'!A168)</f>
        <v> </v>
      </c>
      <c r="B168" s="244" t="str">
        <f>IF(A168=" "," ",VLOOKUP(A168,'3、期末成绩'!$A$2:$B$201,2,FALSE))</f>
        <v> </v>
      </c>
      <c r="C168" s="426"/>
      <c r="D168" s="426"/>
      <c r="E168" s="426"/>
      <c r="F168" s="427"/>
      <c r="G168" s="427"/>
      <c r="H168" s="424" t="str">
        <f>IF(A168=" "," ",SUMPRODUCT($C168:$G168,'1、课程目标与考核方式'!$C$13:$G$13)/100)</f>
        <v> </v>
      </c>
      <c r="I168" s="424" t="str">
        <f>IF(A168=" "," ",ROUND(H168/SUM('1、课程目标与考核方式'!$C$13:$G$13)*'1、课程目标与考核方式'!$I$13,0))</f>
        <v> </v>
      </c>
    </row>
    <row r="169" spans="1:9">
      <c r="A169" s="243" t="str">
        <f>IF(ISBLANK('3、期末成绩'!A169)," ",'3、期末成绩'!A169)</f>
        <v> </v>
      </c>
      <c r="B169" s="244" t="str">
        <f>IF(A169=" "," ",VLOOKUP(A169,'3、期末成绩'!$A$2:$B$201,2,FALSE))</f>
        <v> </v>
      </c>
      <c r="C169" s="426"/>
      <c r="D169" s="426"/>
      <c r="E169" s="426"/>
      <c r="F169" s="427"/>
      <c r="G169" s="427"/>
      <c r="H169" s="424" t="str">
        <f>IF(A169=" "," ",SUMPRODUCT($C169:$G169,'1、课程目标与考核方式'!$C$13:$G$13)/100)</f>
        <v> </v>
      </c>
      <c r="I169" s="424" t="str">
        <f>IF(A169=" "," ",ROUND(H169/SUM('1、课程目标与考核方式'!$C$13:$G$13)*'1、课程目标与考核方式'!$I$13,0))</f>
        <v> </v>
      </c>
    </row>
    <row r="170" spans="1:9">
      <c r="A170" s="243" t="str">
        <f>IF(ISBLANK('3、期末成绩'!A170)," ",'3、期末成绩'!A170)</f>
        <v> </v>
      </c>
      <c r="B170" s="244" t="str">
        <f>IF(A170=" "," ",VLOOKUP(A170,'3、期末成绩'!$A$2:$B$201,2,FALSE))</f>
        <v> </v>
      </c>
      <c r="C170" s="426"/>
      <c r="D170" s="426"/>
      <c r="E170" s="426"/>
      <c r="F170" s="427"/>
      <c r="G170" s="427"/>
      <c r="H170" s="424" t="str">
        <f>IF(A170=" "," ",SUMPRODUCT($C170:$G170,'1、课程目标与考核方式'!$C$13:$G$13)/100)</f>
        <v> </v>
      </c>
      <c r="I170" s="424" t="str">
        <f>IF(A170=" "," ",ROUND(H170/SUM('1、课程目标与考核方式'!$C$13:$G$13)*'1、课程目标与考核方式'!$I$13,0))</f>
        <v> </v>
      </c>
    </row>
    <row r="171" spans="1:9">
      <c r="A171" s="243" t="str">
        <f>IF(ISBLANK('3、期末成绩'!A171)," ",'3、期末成绩'!A171)</f>
        <v> </v>
      </c>
      <c r="B171" s="244" t="str">
        <f>IF(A171=" "," ",VLOOKUP(A171,'3、期末成绩'!$A$2:$B$201,2,FALSE))</f>
        <v> </v>
      </c>
      <c r="C171" s="426"/>
      <c r="D171" s="426"/>
      <c r="E171" s="426"/>
      <c r="F171" s="427"/>
      <c r="G171" s="427"/>
      <c r="H171" s="424" t="str">
        <f>IF(A171=" "," ",SUMPRODUCT($C171:$G171,'1、课程目标与考核方式'!$C$13:$G$13)/100)</f>
        <v> </v>
      </c>
      <c r="I171" s="424" t="str">
        <f>IF(A171=" "," ",ROUND(H171/SUM('1、课程目标与考核方式'!$C$13:$G$13)*'1、课程目标与考核方式'!$I$13,0))</f>
        <v> </v>
      </c>
    </row>
    <row r="172" spans="1:9">
      <c r="A172" s="243" t="str">
        <f>IF(ISBLANK('3、期末成绩'!A172)," ",'3、期末成绩'!A172)</f>
        <v> </v>
      </c>
      <c r="B172" s="244" t="str">
        <f>IF(A172=" "," ",VLOOKUP(A172,'3、期末成绩'!$A$2:$B$201,2,FALSE))</f>
        <v> </v>
      </c>
      <c r="C172" s="426"/>
      <c r="D172" s="426"/>
      <c r="E172" s="426"/>
      <c r="F172" s="427"/>
      <c r="G172" s="427"/>
      <c r="H172" s="424" t="str">
        <f>IF(A172=" "," ",SUMPRODUCT($C172:$G172,'1、课程目标与考核方式'!$C$13:$G$13)/100)</f>
        <v> </v>
      </c>
      <c r="I172" s="424" t="str">
        <f>IF(A172=" "," ",ROUND(H172/SUM('1、课程目标与考核方式'!$C$13:$G$13)*'1、课程目标与考核方式'!$I$13,0))</f>
        <v> </v>
      </c>
    </row>
    <row r="173" spans="1:9">
      <c r="A173" s="243" t="str">
        <f>IF(ISBLANK('3、期末成绩'!A173)," ",'3、期末成绩'!A173)</f>
        <v> </v>
      </c>
      <c r="B173" s="244" t="str">
        <f>IF(A173=" "," ",VLOOKUP(A173,'3、期末成绩'!$A$2:$B$201,2,FALSE))</f>
        <v> </v>
      </c>
      <c r="C173" s="426"/>
      <c r="D173" s="426"/>
      <c r="E173" s="426"/>
      <c r="F173" s="427"/>
      <c r="G173" s="427"/>
      <c r="H173" s="424" t="str">
        <f>IF(A173=" "," ",SUMPRODUCT($C173:$G173,'1、课程目标与考核方式'!$C$13:$G$13)/100)</f>
        <v> </v>
      </c>
      <c r="I173" s="424" t="str">
        <f>IF(A173=" "," ",ROUND(H173/SUM('1、课程目标与考核方式'!$C$13:$G$13)*'1、课程目标与考核方式'!$I$13,0))</f>
        <v> </v>
      </c>
    </row>
    <row r="174" spans="1:9">
      <c r="A174" s="243" t="str">
        <f>IF(ISBLANK('3、期末成绩'!A174)," ",'3、期末成绩'!A174)</f>
        <v> </v>
      </c>
      <c r="B174" s="244" t="str">
        <f>IF(A174=" "," ",VLOOKUP(A174,'3、期末成绩'!$A$2:$B$201,2,FALSE))</f>
        <v> </v>
      </c>
      <c r="C174" s="426"/>
      <c r="D174" s="426"/>
      <c r="E174" s="426"/>
      <c r="F174" s="427"/>
      <c r="G174" s="427"/>
      <c r="H174" s="424" t="str">
        <f>IF(A174=" "," ",SUMPRODUCT($C174:$G174,'1、课程目标与考核方式'!$C$13:$G$13)/100)</f>
        <v> </v>
      </c>
      <c r="I174" s="424" t="str">
        <f>IF(A174=" "," ",ROUND(H174/SUM('1、课程目标与考核方式'!$C$13:$G$13)*'1、课程目标与考核方式'!$I$13,0))</f>
        <v> </v>
      </c>
    </row>
    <row r="175" spans="1:9">
      <c r="A175" s="243" t="str">
        <f>IF(ISBLANK('3、期末成绩'!A175)," ",'3、期末成绩'!A175)</f>
        <v> </v>
      </c>
      <c r="B175" s="244" t="str">
        <f>IF(A175=" "," ",VLOOKUP(A175,'3、期末成绩'!$A$2:$B$201,2,FALSE))</f>
        <v> </v>
      </c>
      <c r="C175" s="426"/>
      <c r="D175" s="426"/>
      <c r="E175" s="426"/>
      <c r="F175" s="427"/>
      <c r="G175" s="427"/>
      <c r="H175" s="424" t="str">
        <f>IF(A175=" "," ",SUMPRODUCT($C175:$G175,'1、课程目标与考核方式'!$C$13:$G$13)/100)</f>
        <v> </v>
      </c>
      <c r="I175" s="424" t="str">
        <f>IF(A175=" "," ",ROUND(H175/SUM('1、课程目标与考核方式'!$C$13:$G$13)*'1、课程目标与考核方式'!$I$13,0))</f>
        <v> </v>
      </c>
    </row>
    <row r="176" spans="1:9">
      <c r="A176" s="243" t="str">
        <f>IF(ISBLANK('3、期末成绩'!A176)," ",'3、期末成绩'!A176)</f>
        <v> </v>
      </c>
      <c r="B176" s="244" t="str">
        <f>IF(A176=" "," ",VLOOKUP(A176,'3、期末成绩'!$A$2:$B$201,2,FALSE))</f>
        <v> </v>
      </c>
      <c r="C176" s="426"/>
      <c r="D176" s="426"/>
      <c r="E176" s="426"/>
      <c r="F176" s="427"/>
      <c r="G176" s="427"/>
      <c r="H176" s="424" t="str">
        <f>IF(A176=" "," ",SUMPRODUCT($C176:$G176,'1、课程目标与考核方式'!$C$13:$G$13)/100)</f>
        <v> </v>
      </c>
      <c r="I176" s="424" t="str">
        <f>IF(A176=" "," ",ROUND(H176/SUM('1、课程目标与考核方式'!$C$13:$G$13)*'1、课程目标与考核方式'!$I$13,0))</f>
        <v> </v>
      </c>
    </row>
    <row r="177" spans="1:9">
      <c r="A177" s="243" t="str">
        <f>IF(ISBLANK('3、期末成绩'!A177)," ",'3、期末成绩'!A177)</f>
        <v> </v>
      </c>
      <c r="B177" s="244" t="str">
        <f>IF(A177=" "," ",VLOOKUP(A177,'3、期末成绩'!$A$2:$B$201,2,FALSE))</f>
        <v> </v>
      </c>
      <c r="C177" s="426"/>
      <c r="D177" s="426"/>
      <c r="E177" s="426"/>
      <c r="F177" s="427"/>
      <c r="G177" s="427"/>
      <c r="H177" s="424" t="str">
        <f>IF(A177=" "," ",SUMPRODUCT($C177:$G177,'1、课程目标与考核方式'!$C$13:$G$13)/100)</f>
        <v> </v>
      </c>
      <c r="I177" s="424" t="str">
        <f>IF(A177=" "," ",ROUND(H177/SUM('1、课程目标与考核方式'!$C$13:$G$13)*'1、课程目标与考核方式'!$I$13,0))</f>
        <v> </v>
      </c>
    </row>
    <row r="178" spans="1:9">
      <c r="A178" s="243" t="str">
        <f>IF(ISBLANK('3、期末成绩'!A178)," ",'3、期末成绩'!A178)</f>
        <v> </v>
      </c>
      <c r="B178" s="244" t="str">
        <f>IF(A178=" "," ",VLOOKUP(A178,'3、期末成绩'!$A$2:$B$201,2,FALSE))</f>
        <v> </v>
      </c>
      <c r="C178" s="426"/>
      <c r="D178" s="426"/>
      <c r="E178" s="426"/>
      <c r="F178" s="427"/>
      <c r="G178" s="427"/>
      <c r="H178" s="424" t="str">
        <f>IF(A178=" "," ",SUMPRODUCT($C178:$G178,'1、课程目标与考核方式'!$C$13:$G$13)/100)</f>
        <v> </v>
      </c>
      <c r="I178" s="424" t="str">
        <f>IF(A178=" "," ",ROUND(H178/SUM('1、课程目标与考核方式'!$C$13:$G$13)*'1、课程目标与考核方式'!$I$13,0))</f>
        <v> </v>
      </c>
    </row>
    <row r="179" spans="1:9">
      <c r="A179" s="243" t="str">
        <f>IF(ISBLANK('3、期末成绩'!A179)," ",'3、期末成绩'!A179)</f>
        <v> </v>
      </c>
      <c r="B179" s="244" t="str">
        <f>IF(A179=" "," ",VLOOKUP(A179,'3、期末成绩'!$A$2:$B$201,2,FALSE))</f>
        <v> </v>
      </c>
      <c r="C179" s="426"/>
      <c r="D179" s="426"/>
      <c r="E179" s="426"/>
      <c r="F179" s="427"/>
      <c r="G179" s="427"/>
      <c r="H179" s="424" t="str">
        <f>IF(A179=" "," ",SUMPRODUCT($C179:$G179,'1、课程目标与考核方式'!$C$13:$G$13)/100)</f>
        <v> </v>
      </c>
      <c r="I179" s="424" t="str">
        <f>IF(A179=" "," ",ROUND(H179/SUM('1、课程目标与考核方式'!$C$13:$G$13)*'1、课程目标与考核方式'!$I$13,0))</f>
        <v> </v>
      </c>
    </row>
    <row r="180" spans="1:9">
      <c r="A180" s="243" t="str">
        <f>IF(ISBLANK('3、期末成绩'!A180)," ",'3、期末成绩'!A180)</f>
        <v> </v>
      </c>
      <c r="B180" s="244" t="str">
        <f>IF(A180=" "," ",VLOOKUP(A180,'3、期末成绩'!$A$2:$B$201,2,FALSE))</f>
        <v> </v>
      </c>
      <c r="C180" s="426"/>
      <c r="D180" s="426"/>
      <c r="E180" s="426"/>
      <c r="F180" s="427"/>
      <c r="G180" s="427"/>
      <c r="H180" s="424" t="str">
        <f>IF(A180=" "," ",SUMPRODUCT($C180:$G180,'1、课程目标与考核方式'!$C$13:$G$13)/100)</f>
        <v> </v>
      </c>
      <c r="I180" s="424" t="str">
        <f>IF(A180=" "," ",ROUND(H180/SUM('1、课程目标与考核方式'!$C$13:$G$13)*'1、课程目标与考核方式'!$I$13,0))</f>
        <v> </v>
      </c>
    </row>
    <row r="181" spans="1:9">
      <c r="A181" s="243" t="str">
        <f>IF(ISBLANK('3、期末成绩'!A181)," ",'3、期末成绩'!A181)</f>
        <v> </v>
      </c>
      <c r="B181" s="244" t="str">
        <f>IF(A181=" "," ",VLOOKUP(A181,'3、期末成绩'!$A$2:$B$201,2,FALSE))</f>
        <v> </v>
      </c>
      <c r="C181" s="426"/>
      <c r="D181" s="426"/>
      <c r="E181" s="426"/>
      <c r="F181" s="427"/>
      <c r="G181" s="427"/>
      <c r="H181" s="424" t="str">
        <f>IF(A181=" "," ",SUMPRODUCT($C181:$G181,'1、课程目标与考核方式'!$C$13:$G$13)/100)</f>
        <v> </v>
      </c>
      <c r="I181" s="424" t="str">
        <f>IF(A181=" "," ",ROUND(H181/SUM('1、课程目标与考核方式'!$C$13:$G$13)*'1、课程目标与考核方式'!$I$13,0))</f>
        <v> </v>
      </c>
    </row>
    <row r="182" spans="1:9">
      <c r="A182" s="243" t="str">
        <f>IF(ISBLANK('3、期末成绩'!A182)," ",'3、期末成绩'!A182)</f>
        <v> </v>
      </c>
      <c r="B182" s="244" t="str">
        <f>IF(A182=" "," ",VLOOKUP(A182,'3、期末成绩'!$A$2:$B$201,2,FALSE))</f>
        <v> </v>
      </c>
      <c r="C182" s="426"/>
      <c r="D182" s="426"/>
      <c r="E182" s="426"/>
      <c r="F182" s="427"/>
      <c r="G182" s="427"/>
      <c r="H182" s="424" t="str">
        <f>IF(A182=" "," ",SUMPRODUCT($C182:$G182,'1、课程目标与考核方式'!$C$13:$G$13)/100)</f>
        <v> </v>
      </c>
      <c r="I182" s="424" t="str">
        <f>IF(A182=" "," ",ROUND(H182/SUM('1、课程目标与考核方式'!$C$13:$G$13)*'1、课程目标与考核方式'!$I$13,0))</f>
        <v> </v>
      </c>
    </row>
    <row r="183" spans="1:9">
      <c r="A183" s="243" t="str">
        <f>IF(ISBLANK('3、期末成绩'!A183)," ",'3、期末成绩'!A183)</f>
        <v> </v>
      </c>
      <c r="B183" s="244" t="str">
        <f>IF(A183=" "," ",VLOOKUP(A183,'3、期末成绩'!$A$2:$B$201,2,FALSE))</f>
        <v> </v>
      </c>
      <c r="C183" s="426"/>
      <c r="D183" s="426"/>
      <c r="E183" s="426"/>
      <c r="F183" s="427"/>
      <c r="G183" s="427"/>
      <c r="H183" s="424" t="str">
        <f>IF(A183=" "," ",SUMPRODUCT($C183:$G183,'1、课程目标与考核方式'!$C$13:$G$13)/100)</f>
        <v> </v>
      </c>
      <c r="I183" s="424" t="str">
        <f>IF(A183=" "," ",ROUND(H183/SUM('1、课程目标与考核方式'!$C$13:$G$13)*'1、课程目标与考核方式'!$I$13,0))</f>
        <v> </v>
      </c>
    </row>
    <row r="184" spans="1:9">
      <c r="A184" s="243" t="str">
        <f>IF(ISBLANK('3、期末成绩'!A184)," ",'3、期末成绩'!A184)</f>
        <v> </v>
      </c>
      <c r="B184" s="244" t="str">
        <f>IF(A184=" "," ",VLOOKUP(A184,'3、期末成绩'!$A$2:$B$201,2,FALSE))</f>
        <v> </v>
      </c>
      <c r="C184" s="426"/>
      <c r="D184" s="426"/>
      <c r="E184" s="426"/>
      <c r="F184" s="427"/>
      <c r="G184" s="427"/>
      <c r="H184" s="424" t="str">
        <f>IF(A184=" "," ",SUMPRODUCT($C184:$G184,'1、课程目标与考核方式'!$C$13:$G$13)/100)</f>
        <v> </v>
      </c>
      <c r="I184" s="424" t="str">
        <f>IF(A184=" "," ",ROUND(H184/SUM('1、课程目标与考核方式'!$C$13:$G$13)*'1、课程目标与考核方式'!$I$13,0))</f>
        <v> </v>
      </c>
    </row>
    <row r="185" spans="1:9">
      <c r="A185" s="243" t="str">
        <f>IF(ISBLANK('3、期末成绩'!A185)," ",'3、期末成绩'!A185)</f>
        <v> </v>
      </c>
      <c r="B185" s="244" t="str">
        <f>IF(A185=" "," ",VLOOKUP(A185,'3、期末成绩'!$A$2:$B$201,2,FALSE))</f>
        <v> </v>
      </c>
      <c r="C185" s="426"/>
      <c r="D185" s="426"/>
      <c r="E185" s="426"/>
      <c r="F185" s="427"/>
      <c r="G185" s="427"/>
      <c r="H185" s="424" t="str">
        <f>IF(A185=" "," ",SUMPRODUCT($C185:$G185,'1、课程目标与考核方式'!$C$13:$G$13)/100)</f>
        <v> </v>
      </c>
      <c r="I185" s="424" t="str">
        <f>IF(A185=" "," ",ROUND(H185/SUM('1、课程目标与考核方式'!$C$13:$G$13)*'1、课程目标与考核方式'!$I$13,0))</f>
        <v> </v>
      </c>
    </row>
    <row r="186" spans="1:9">
      <c r="A186" s="243" t="str">
        <f>IF(ISBLANK('3、期末成绩'!A186)," ",'3、期末成绩'!A186)</f>
        <v> </v>
      </c>
      <c r="B186" s="244" t="str">
        <f>IF(A186=" "," ",VLOOKUP(A186,'3、期末成绩'!$A$2:$B$201,2,FALSE))</f>
        <v> </v>
      </c>
      <c r="C186" s="426"/>
      <c r="D186" s="426"/>
      <c r="E186" s="426"/>
      <c r="F186" s="427"/>
      <c r="G186" s="427"/>
      <c r="H186" s="424" t="str">
        <f>IF(A186=" "," ",SUMPRODUCT($C186:$G186,'1、课程目标与考核方式'!$C$13:$G$13)/100)</f>
        <v> </v>
      </c>
      <c r="I186" s="424" t="str">
        <f>IF(A186=" "," ",ROUND(H186/SUM('1、课程目标与考核方式'!$C$13:$G$13)*'1、课程目标与考核方式'!$I$13,0))</f>
        <v> </v>
      </c>
    </row>
    <row r="187" spans="1:9">
      <c r="A187" s="243" t="str">
        <f>IF(ISBLANK('3、期末成绩'!A187)," ",'3、期末成绩'!A187)</f>
        <v> </v>
      </c>
      <c r="B187" s="244" t="str">
        <f>IF(A187=" "," ",VLOOKUP(A187,'3、期末成绩'!$A$2:$B$201,2,FALSE))</f>
        <v> </v>
      </c>
      <c r="C187" s="426"/>
      <c r="D187" s="426"/>
      <c r="E187" s="426"/>
      <c r="F187" s="427"/>
      <c r="G187" s="427"/>
      <c r="H187" s="424" t="str">
        <f>IF(A187=" "," ",SUMPRODUCT($C187:$G187,'1、课程目标与考核方式'!$C$13:$G$13)/100)</f>
        <v> </v>
      </c>
      <c r="I187" s="424" t="str">
        <f>IF(A187=" "," ",ROUND(H187/SUM('1、课程目标与考核方式'!$C$13:$G$13)*'1、课程目标与考核方式'!$I$13,0))</f>
        <v> </v>
      </c>
    </row>
    <row r="188" spans="1:9">
      <c r="A188" s="243" t="str">
        <f>IF(ISBLANK('3、期末成绩'!A188)," ",'3、期末成绩'!A188)</f>
        <v> </v>
      </c>
      <c r="B188" s="244" t="str">
        <f>IF(A188=" "," ",VLOOKUP(A188,'3、期末成绩'!$A$2:$B$201,2,FALSE))</f>
        <v> </v>
      </c>
      <c r="C188" s="426"/>
      <c r="D188" s="426"/>
      <c r="E188" s="426"/>
      <c r="F188" s="427"/>
      <c r="G188" s="427"/>
      <c r="H188" s="424" t="str">
        <f>IF(A188=" "," ",SUMPRODUCT($C188:$G188,'1、课程目标与考核方式'!$C$13:$G$13)/100)</f>
        <v> </v>
      </c>
      <c r="I188" s="424" t="str">
        <f>IF(A188=" "," ",ROUND(H188/SUM('1、课程目标与考核方式'!$C$13:$G$13)*'1、课程目标与考核方式'!$I$13,0))</f>
        <v> </v>
      </c>
    </row>
    <row r="189" spans="1:9">
      <c r="A189" s="243" t="str">
        <f>IF(ISBLANK('3、期末成绩'!A189)," ",'3、期末成绩'!A189)</f>
        <v> </v>
      </c>
      <c r="B189" s="244" t="str">
        <f>IF(A189=" "," ",VLOOKUP(A189,'3、期末成绩'!$A$2:$B$201,2,FALSE))</f>
        <v> </v>
      </c>
      <c r="C189" s="426"/>
      <c r="D189" s="426"/>
      <c r="E189" s="426"/>
      <c r="F189" s="427"/>
      <c r="G189" s="427"/>
      <c r="H189" s="424" t="str">
        <f>IF(A189=" "," ",SUMPRODUCT($C189:$G189,'1、课程目标与考核方式'!$C$13:$G$13)/100)</f>
        <v> </v>
      </c>
      <c r="I189" s="424" t="str">
        <f>IF(A189=" "," ",ROUND(H189/SUM('1、课程目标与考核方式'!$C$13:$G$13)*'1、课程目标与考核方式'!$I$13,0))</f>
        <v> </v>
      </c>
    </row>
    <row r="190" spans="1:9">
      <c r="A190" s="243" t="str">
        <f>IF(ISBLANK('3、期末成绩'!A190)," ",'3、期末成绩'!A190)</f>
        <v> </v>
      </c>
      <c r="B190" s="244" t="str">
        <f>IF(A190=" "," ",VLOOKUP(A190,'3、期末成绩'!$A$2:$B$201,2,FALSE))</f>
        <v> </v>
      </c>
      <c r="C190" s="426"/>
      <c r="D190" s="426"/>
      <c r="E190" s="426"/>
      <c r="F190" s="427"/>
      <c r="G190" s="427"/>
      <c r="H190" s="424" t="str">
        <f>IF(A190=" "," ",SUMPRODUCT($C190:$G190,'1、课程目标与考核方式'!$C$13:$G$13)/100)</f>
        <v> </v>
      </c>
      <c r="I190" s="424" t="str">
        <f>IF(A190=" "," ",ROUND(H190/SUM('1、课程目标与考核方式'!$C$13:$G$13)*'1、课程目标与考核方式'!$I$13,0))</f>
        <v> </v>
      </c>
    </row>
    <row r="191" spans="1:9">
      <c r="A191" s="243" t="str">
        <f>IF(ISBLANK('3、期末成绩'!A191)," ",'3、期末成绩'!A191)</f>
        <v> </v>
      </c>
      <c r="B191" s="244" t="str">
        <f>IF(A191=" "," ",VLOOKUP(A191,'3、期末成绩'!$A$2:$B$201,2,FALSE))</f>
        <v> </v>
      </c>
      <c r="C191" s="426"/>
      <c r="D191" s="426"/>
      <c r="E191" s="426"/>
      <c r="F191" s="427"/>
      <c r="G191" s="427"/>
      <c r="H191" s="424" t="str">
        <f>IF(A191=" "," ",SUMPRODUCT($C191:$G191,'1、课程目标与考核方式'!$C$13:$G$13)/100)</f>
        <v> </v>
      </c>
      <c r="I191" s="424" t="str">
        <f>IF(A191=" "," ",ROUND(H191/SUM('1、课程目标与考核方式'!$C$13:$G$13)*'1、课程目标与考核方式'!$I$13,0))</f>
        <v> </v>
      </c>
    </row>
    <row r="192" spans="1:9">
      <c r="A192" s="243" t="str">
        <f>IF(ISBLANK('3、期末成绩'!A192)," ",'3、期末成绩'!A192)</f>
        <v> </v>
      </c>
      <c r="B192" s="244" t="str">
        <f>IF(A192=" "," ",VLOOKUP(A192,'3、期末成绩'!$A$2:$B$201,2,FALSE))</f>
        <v> </v>
      </c>
      <c r="C192" s="426"/>
      <c r="D192" s="426"/>
      <c r="E192" s="426"/>
      <c r="F192" s="427"/>
      <c r="G192" s="427"/>
      <c r="H192" s="424" t="str">
        <f>IF(A192=" "," ",SUMPRODUCT($C192:$G192,'1、课程目标与考核方式'!$C$13:$G$13)/100)</f>
        <v> </v>
      </c>
      <c r="I192" s="424" t="str">
        <f>IF(A192=" "," ",ROUND(H192/SUM('1、课程目标与考核方式'!$C$13:$G$13)*'1、课程目标与考核方式'!$I$13,0))</f>
        <v> </v>
      </c>
    </row>
    <row r="193" spans="1:9">
      <c r="A193" s="243" t="str">
        <f>IF(ISBLANK('3、期末成绩'!A193)," ",'3、期末成绩'!A193)</f>
        <v> </v>
      </c>
      <c r="B193" s="244" t="str">
        <f>IF(A193=" "," ",VLOOKUP(A193,'3、期末成绩'!$A$2:$B$201,2,FALSE))</f>
        <v> </v>
      </c>
      <c r="C193" s="426"/>
      <c r="D193" s="426"/>
      <c r="E193" s="426"/>
      <c r="F193" s="427"/>
      <c r="G193" s="427"/>
      <c r="H193" s="424" t="str">
        <f>IF(A193=" "," ",SUMPRODUCT($C193:$G193,'1、课程目标与考核方式'!$C$13:$G$13)/100)</f>
        <v> </v>
      </c>
      <c r="I193" s="424" t="str">
        <f>IF(A193=" "," ",ROUND(H193/SUM('1、课程目标与考核方式'!$C$13:$G$13)*'1、课程目标与考核方式'!$I$13,0))</f>
        <v> </v>
      </c>
    </row>
    <row r="194" spans="1:9">
      <c r="A194" s="243" t="str">
        <f>IF(ISBLANK('3、期末成绩'!A194)," ",'3、期末成绩'!A194)</f>
        <v> </v>
      </c>
      <c r="B194" s="244" t="str">
        <f>IF(A194=" "," ",VLOOKUP(A194,'3、期末成绩'!$A$2:$B$201,2,FALSE))</f>
        <v> </v>
      </c>
      <c r="C194" s="426"/>
      <c r="D194" s="426"/>
      <c r="E194" s="426"/>
      <c r="F194" s="427"/>
      <c r="G194" s="427"/>
      <c r="H194" s="424" t="str">
        <f>IF(A194=" "," ",SUMPRODUCT($C194:$G194,'1、课程目标与考核方式'!$C$13:$G$13)/100)</f>
        <v> </v>
      </c>
      <c r="I194" s="424" t="str">
        <f>IF(A194=" "," ",ROUND(H194/SUM('1、课程目标与考核方式'!$C$13:$G$13)*'1、课程目标与考核方式'!$I$13,0))</f>
        <v> </v>
      </c>
    </row>
    <row r="195" spans="1:9">
      <c r="A195" s="243" t="str">
        <f>IF(ISBLANK('3、期末成绩'!A195)," ",'3、期末成绩'!A195)</f>
        <v> </v>
      </c>
      <c r="B195" s="244" t="str">
        <f>IF(A195=" "," ",VLOOKUP(A195,'3、期末成绩'!$A$2:$B$201,2,FALSE))</f>
        <v> </v>
      </c>
      <c r="C195" s="426"/>
      <c r="D195" s="426"/>
      <c r="E195" s="426"/>
      <c r="F195" s="427"/>
      <c r="G195" s="427"/>
      <c r="H195" s="424" t="str">
        <f>IF(A195=" "," ",SUMPRODUCT($C195:$G195,'1、课程目标与考核方式'!$C$13:$G$13)/100)</f>
        <v> </v>
      </c>
      <c r="I195" s="424" t="str">
        <f>IF(A195=" "," ",ROUND(H195/SUM('1、课程目标与考核方式'!$C$13:$G$13)*'1、课程目标与考核方式'!$I$13,0))</f>
        <v> </v>
      </c>
    </row>
    <row r="196" spans="1:9">
      <c r="A196" s="243" t="str">
        <f>IF(ISBLANK('3、期末成绩'!A196)," ",'3、期末成绩'!A196)</f>
        <v> </v>
      </c>
      <c r="B196" s="244" t="str">
        <f>IF(A196=" "," ",VLOOKUP(A196,'3、期末成绩'!$A$2:$B$201,2,FALSE))</f>
        <v> </v>
      </c>
      <c r="C196" s="426"/>
      <c r="D196" s="426"/>
      <c r="E196" s="426"/>
      <c r="F196" s="427"/>
      <c r="G196" s="427"/>
      <c r="H196" s="424" t="str">
        <f>IF(A196=" "," ",SUMPRODUCT($C196:$G196,'1、课程目标与考核方式'!$C$13:$G$13)/100)</f>
        <v> </v>
      </c>
      <c r="I196" s="424" t="str">
        <f>IF(A196=" "," ",ROUND(H196/SUM('1、课程目标与考核方式'!$C$13:$G$13)*'1、课程目标与考核方式'!$I$13,0))</f>
        <v> </v>
      </c>
    </row>
    <row r="197" spans="1:9">
      <c r="A197" s="243" t="str">
        <f>IF(ISBLANK('3、期末成绩'!A197)," ",'3、期末成绩'!A197)</f>
        <v> </v>
      </c>
      <c r="B197" s="244" t="str">
        <f>IF(A197=" "," ",VLOOKUP(A197,'3、期末成绩'!$A$2:$B$201,2,FALSE))</f>
        <v> </v>
      </c>
      <c r="C197" s="426"/>
      <c r="D197" s="426"/>
      <c r="E197" s="426"/>
      <c r="F197" s="427"/>
      <c r="G197" s="427"/>
      <c r="H197" s="424" t="str">
        <f>IF(A197=" "," ",SUMPRODUCT($C197:$G197,'1、课程目标与考核方式'!$C$13:$G$13)/100)</f>
        <v> </v>
      </c>
      <c r="I197" s="424" t="str">
        <f>IF(A197=" "," ",ROUND(H197/SUM('1、课程目标与考核方式'!$C$13:$G$13)*'1、课程目标与考核方式'!$I$13,0))</f>
        <v> </v>
      </c>
    </row>
    <row r="198" spans="1:9">
      <c r="A198" s="243" t="str">
        <f>IF(ISBLANK('3、期末成绩'!A198)," ",'3、期末成绩'!A198)</f>
        <v> </v>
      </c>
      <c r="B198" s="244" t="str">
        <f>IF(A198=" "," ",VLOOKUP(A198,'3、期末成绩'!$A$2:$B$201,2,FALSE))</f>
        <v> </v>
      </c>
      <c r="C198" s="426"/>
      <c r="D198" s="426"/>
      <c r="E198" s="426"/>
      <c r="F198" s="427"/>
      <c r="G198" s="427"/>
      <c r="H198" s="424" t="str">
        <f>IF(A198=" "," ",SUMPRODUCT($C198:$G198,'1、课程目标与考核方式'!$C$13:$G$13)/100)</f>
        <v> </v>
      </c>
      <c r="I198" s="424" t="str">
        <f>IF(A198=" "," ",ROUND(H198/SUM('1、课程目标与考核方式'!$C$13:$G$13)*'1、课程目标与考核方式'!$I$13,0))</f>
        <v> </v>
      </c>
    </row>
    <row r="199" spans="1:9">
      <c r="A199" s="243" t="str">
        <f>IF(ISBLANK('3、期末成绩'!A199)," ",'3、期末成绩'!A199)</f>
        <v> </v>
      </c>
      <c r="B199" s="244" t="str">
        <f>IF(A199=" "," ",VLOOKUP(A199,'3、期末成绩'!$A$2:$B$201,2,FALSE))</f>
        <v> </v>
      </c>
      <c r="C199" s="426"/>
      <c r="D199" s="426"/>
      <c r="E199" s="426"/>
      <c r="F199" s="427"/>
      <c r="G199" s="427"/>
      <c r="H199" s="424" t="str">
        <f>IF(A199=" "," ",SUMPRODUCT($C199:$G199,'1、课程目标与考核方式'!$C$13:$G$13)/100)</f>
        <v> </v>
      </c>
      <c r="I199" s="424" t="str">
        <f>IF(A199=" "," ",ROUND(H199/SUM('1、课程目标与考核方式'!$C$13:$G$13)*'1、课程目标与考核方式'!$I$13,0))</f>
        <v> </v>
      </c>
    </row>
    <row r="200" spans="1:9">
      <c r="A200" s="243" t="str">
        <f>IF(ISBLANK('3、期末成绩'!A200)," ",'3、期末成绩'!A200)</f>
        <v> </v>
      </c>
      <c r="B200" s="244" t="str">
        <f>IF(A200=" "," ",VLOOKUP(A200,'3、期末成绩'!$A$2:$B$201,2,FALSE))</f>
        <v> </v>
      </c>
      <c r="C200" s="426"/>
      <c r="D200" s="426"/>
      <c r="E200" s="426"/>
      <c r="F200" s="427"/>
      <c r="G200" s="427"/>
      <c r="H200" s="424" t="str">
        <f>IF(A200=" "," ",SUMPRODUCT($C200:$G200,'1、课程目标与考核方式'!$C$13:$G$13)/100)</f>
        <v> </v>
      </c>
      <c r="I200" s="424" t="str">
        <f>IF(A200=" "," ",ROUND(H200/SUM('1、课程目标与考核方式'!$C$13:$G$13)*'1、课程目标与考核方式'!$I$13,0))</f>
        <v> </v>
      </c>
    </row>
    <row r="201" spans="1:9">
      <c r="A201" s="243" t="str">
        <f>IF(ISBLANK('3、期末成绩'!A201)," ",'3、期末成绩'!A201)</f>
        <v> </v>
      </c>
      <c r="B201" s="244" t="str">
        <f>IF(A201=" "," ",VLOOKUP(A201,'3、期末成绩'!$A$2:$B$201,2,FALSE))</f>
        <v> </v>
      </c>
      <c r="C201" s="426"/>
      <c r="D201" s="426"/>
      <c r="E201" s="426"/>
      <c r="F201" s="427"/>
      <c r="G201" s="427"/>
      <c r="H201" s="424" t="str">
        <f>IF(A201=" "," ",SUMPRODUCT($C201:$G201,'1、课程目标与考核方式'!$C$13:$G$13)/100)</f>
        <v> </v>
      </c>
      <c r="I201" s="424" t="str">
        <f>IF(A201=" "," ",ROUND(H201/SUM('1、课程目标与考核方式'!$C$13:$G$13)*'1、课程目标与考核方式'!$I$13,0))</f>
        <v> </v>
      </c>
    </row>
  </sheetData>
  <sheetProtection password="DE0E" sheet="1" selectLockedCells="1" objects="1"/>
  <protectedRanges>
    <protectedRange sqref="C2:G201 C3:E3 C38:E38" name="平时成绩表"/>
    <protectedRange sqref="C2:E35" name="平时成绩表_1"/>
  </protectedRanges>
  <pageMargins left="0.699305555555556" right="0.699305555555556" top="0.75" bottom="0.75" header="0.3" footer="0.3"/>
  <pageSetup paperSize="9" orientation="portrait"/>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tabColor rgb="FFFFC000"/>
  </sheetPr>
  <dimension ref="A1:L63"/>
  <sheetViews>
    <sheetView zoomScale="60" zoomScaleNormal="60" workbookViewId="0">
      <selection activeCell="L58" sqref="L58"/>
    </sheetView>
  </sheetViews>
  <sheetFormatPr defaultColWidth="8.66666666666667" defaultRowHeight="14"/>
  <cols>
    <col min="1" max="1" width="2.66666666666667" style="361" customWidth="1"/>
    <col min="2" max="2" width="9.88333333333333" style="361" customWidth="1"/>
    <col min="3" max="3" width="16.3333333333333" style="361" customWidth="1"/>
    <col min="4" max="4" width="12.775" style="361" customWidth="1"/>
    <col min="5" max="5" width="14.3333333333333" style="361" customWidth="1"/>
    <col min="6" max="6" width="13.4416666666667" style="361" customWidth="1"/>
    <col min="7" max="7" width="11.2166666666667" style="361" customWidth="1"/>
    <col min="8" max="8" width="13.4416666666667" style="361" customWidth="1"/>
    <col min="9" max="9" width="10" style="361" customWidth="1"/>
    <col min="10" max="10" width="13.3333333333333" style="361" customWidth="1"/>
    <col min="11" max="11" width="8.66666666666667" style="361"/>
    <col min="12" max="12" width="13.3333333333333" style="361" customWidth="1"/>
    <col min="13" max="13" width="8.66666666666667" style="361"/>
    <col min="14" max="14" width="13.775" style="361" customWidth="1"/>
    <col min="15" max="15" width="17.3333333333333" style="361" customWidth="1"/>
    <col min="16" max="16384" width="8.66666666666667" style="361"/>
  </cols>
  <sheetData>
    <row r="1" ht="14.1" customHeight="1" spans="1:8">
      <c r="A1" s="362" t="str">
        <f>'2、试卷（期末）'!B1&amp;'7、自动毕业达成度评价表'!B2</f>
        <v>19级《虚拟现实(22版)》</v>
      </c>
      <c r="B1" s="362"/>
      <c r="C1" s="362"/>
      <c r="D1" s="362"/>
      <c r="E1" s="362"/>
      <c r="F1" s="362"/>
      <c r="G1" s="363" t="s">
        <v>319</v>
      </c>
      <c r="H1" s="363"/>
    </row>
    <row r="2" ht="14.1" customHeight="1" spans="1:8">
      <c r="A2" s="362"/>
      <c r="B2" s="362"/>
      <c r="C2" s="362"/>
      <c r="D2" s="362"/>
      <c r="E2" s="362"/>
      <c r="F2" s="362"/>
      <c r="G2" s="363"/>
      <c r="H2" s="363"/>
    </row>
    <row r="3" spans="1:8">
      <c r="A3" s="364"/>
      <c r="B3" s="364"/>
      <c r="C3" s="364"/>
      <c r="D3" s="364"/>
      <c r="E3" s="365" t="s">
        <v>33</v>
      </c>
      <c r="F3" s="366">
        <f>'1、课程目标与考核方式'!D1</f>
        <v>52080105</v>
      </c>
      <c r="G3" s="364"/>
      <c r="H3" s="364"/>
    </row>
    <row r="4" spans="1:8">
      <c r="A4" s="364"/>
      <c r="B4" s="367" t="s">
        <v>320</v>
      </c>
      <c r="C4" s="368"/>
      <c r="D4" s="368"/>
      <c r="E4" s="368"/>
      <c r="F4" s="368"/>
      <c r="G4" s="368"/>
      <c r="H4" s="369"/>
    </row>
    <row r="5" spans="1:8">
      <c r="A5" s="364"/>
      <c r="B5" s="370"/>
      <c r="C5" s="370" t="s">
        <v>321</v>
      </c>
      <c r="D5" s="370" t="s">
        <v>322</v>
      </c>
      <c r="E5" s="370" t="s">
        <v>323</v>
      </c>
      <c r="F5" s="370" t="s">
        <v>324</v>
      </c>
      <c r="G5" s="371" t="s">
        <v>325</v>
      </c>
      <c r="H5" s="372"/>
    </row>
    <row r="6" spans="1:8">
      <c r="A6" s="364"/>
      <c r="B6" s="373" t="str">
        <f>IF(ISBLANK('1、课程目标与考核方式'!A3)," ",'1、课程目标与考核方式'!A3)</f>
        <v>课程目标1</v>
      </c>
      <c r="C6" s="374">
        <f>IF(B6=" "," ",'1、课程目标与考核方式'!H3/'1、课程目标与考核方式'!$H$13*'1、课程目标与考核方式'!$I$13)</f>
        <v>30.8</v>
      </c>
      <c r="D6" s="370">
        <f>IF(B6=" "," ",SUMIF(期末试卷分析表!$B$6:$CC$6,RIGHT('5、打印达成度'!B6,LEN('5、打印达成度'!B6)-LEN("课程目标")),期末试卷分析表!$B$7:$CC$7))</f>
        <v>0</v>
      </c>
      <c r="E6" s="375">
        <f ca="1">IF(B6=" "," ",SUMIF(期末成绩分析表!$B$6:$CC$6,RIGHT('5、打印达成度'!B6,LEN('5、打印达成度'!B6)-LEN("课程目标")),期末成绩分析表!$B$5:$CC$5))</f>
        <v>0</v>
      </c>
      <c r="F6" s="376">
        <f ca="1">IF(B6=" "," ",IF(D6=0,0,E6/D6))</f>
        <v>0</v>
      </c>
      <c r="G6" s="377">
        <f>IF(B6=" "," ",IF(C6=0,0,ABS(D6-C6)/C6))</f>
        <v>1</v>
      </c>
      <c r="H6" s="378"/>
    </row>
    <row r="7" spans="1:8">
      <c r="A7" s="364"/>
      <c r="B7" s="370" t="str">
        <f>IF(ISBLANK('1、课程目标与考核方式'!A4)," ",'1、课程目标与考核方式'!A4)</f>
        <v>课程目标2</v>
      </c>
      <c r="C7" s="374">
        <f>IF(B7=" "," ",'1、课程目标与考核方式'!H4/'1、课程目标与考核方式'!$H$13*'1、课程目标与考核方式'!$I$13)</f>
        <v>32.34</v>
      </c>
      <c r="D7" s="370">
        <f>IF(B7=" "," ",SUMIF(期末试卷分析表!$B$6:$CC$6,RIGHT('5、打印达成度'!B7,LEN('5、打印达成度'!B7)-LEN("课程目标")),期末试卷分析表!$B$7:$CC$7))</f>
        <v>40</v>
      </c>
      <c r="E7" s="375">
        <f ca="1">IF(B7=" "," ",SUMIF(期末成绩分析表!$B$6:$CC$6,RIGHT('5、打印达成度'!B7,LEN('5、打印达成度'!B7)-LEN("课程目标")),期末成绩分析表!$B$5:$CC$5))</f>
        <v>38</v>
      </c>
      <c r="F7" s="376">
        <f ca="1" t="shared" ref="F7:F14" si="0">IF(B7=" "," ",IF(D7=0,0,E7/D7))</f>
        <v>0.95</v>
      </c>
      <c r="G7" s="377">
        <f t="shared" ref="G7:G14" si="1">IF(B7=" "," ",IF(C7=0,0,ABS(D7-C7)/C7))</f>
        <v>0.236858379715523</v>
      </c>
      <c r="H7" s="378"/>
    </row>
    <row r="8" spans="1:8">
      <c r="A8" s="364"/>
      <c r="B8" s="370" t="str">
        <f>IF(ISBLANK('1、课程目标与考核方式'!A5)," ",'1、课程目标与考核方式'!A5)</f>
        <v>课程目标3</v>
      </c>
      <c r="C8" s="374">
        <f>IF(B8=" "," ",'1、课程目标与考核方式'!H5/'1、课程目标与考核方式'!$H$13*'1、课程目标与考核方式'!$I$13)</f>
        <v>13.86</v>
      </c>
      <c r="D8" s="370">
        <f>IF(B8=" "," ",SUMIF(期末试卷分析表!$B$6:$CC$6,RIGHT('5、打印达成度'!B8,LEN('5、打印达成度'!B8)-LEN("课程目标")),期末试卷分析表!$B$7:$CC$7))</f>
        <v>40</v>
      </c>
      <c r="E8" s="375">
        <f ca="1">IF(B8=" "," ",SUMIF(期末成绩分析表!$B$6:$CC$6,RIGHT('5、打印达成度'!B8,LEN('5、打印达成度'!B8)-LEN("课程目标")),期末成绩分析表!$B$5:$CC$5))</f>
        <v>38</v>
      </c>
      <c r="F8" s="376">
        <f ca="1" t="shared" si="0"/>
        <v>0.95</v>
      </c>
      <c r="G8" s="377">
        <f t="shared" si="1"/>
        <v>1.88600288600289</v>
      </c>
      <c r="H8" s="378"/>
    </row>
    <row r="9" spans="1:8">
      <c r="A9" s="364"/>
      <c r="B9" s="370" t="str">
        <f>IF(ISBLANK('1、课程目标与考核方式'!A6)," ",'1、课程目标与考核方式'!A6)</f>
        <v> </v>
      </c>
      <c r="C9" s="374" t="str">
        <f>IF(B9=" "," ",'1、课程目标与考核方式'!H6/'1、课程目标与考核方式'!$H$13*'1、课程目标与考核方式'!$I$13)</f>
        <v> </v>
      </c>
      <c r="D9" s="370" t="str">
        <f>IF(B9=" "," ",SUMIF(期末试卷分析表!$B$6:$CC$6,RIGHT('5、打印达成度'!B9,LEN('5、打印达成度'!B9)-LEN("课程目标")),期末试卷分析表!$B$7:$CC$7))</f>
        <v> </v>
      </c>
      <c r="E9" s="375" t="str">
        <f ca="1">IF(B9=" "," ",SUMIF(期末成绩分析表!$B$6:$CC$6,RIGHT('5、打印达成度'!B9,LEN('5、打印达成度'!B9)-LEN("课程目标")),期末成绩分析表!$B$5:$CC$5))</f>
        <v> </v>
      </c>
      <c r="F9" s="376" t="str">
        <f ca="1" t="shared" si="0"/>
        <v> </v>
      </c>
      <c r="G9" s="377" t="str">
        <f t="shared" si="1"/>
        <v> </v>
      </c>
      <c r="H9" s="378"/>
    </row>
    <row r="10" spans="1:8">
      <c r="A10" s="364"/>
      <c r="B10" s="370" t="str">
        <f>IF(ISBLANK('1、课程目标与考核方式'!A7)," ",'1、课程目标与考核方式'!A7)</f>
        <v> </v>
      </c>
      <c r="C10" s="374" t="str">
        <f>IF(B10=" "," ",'1、课程目标与考核方式'!H7/'1、课程目标与考核方式'!$H$13*'1、课程目标与考核方式'!$I$13)</f>
        <v> </v>
      </c>
      <c r="D10" s="370" t="str">
        <f>IF(B10=" "," ",SUMIF(期末试卷分析表!$B$6:$CC$6,RIGHT('5、打印达成度'!B10,LEN('5、打印达成度'!B10)-LEN("课程目标")),期末试卷分析表!$B$7:$CC$7))</f>
        <v> </v>
      </c>
      <c r="E10" s="375" t="str">
        <f ca="1">IF(B10=" "," ",SUMIF(期末成绩分析表!$B$6:$CC$6,RIGHT('5、打印达成度'!B10,LEN('5、打印达成度'!B10)-LEN("课程目标")),期末成绩分析表!$B$5:$CC$5))</f>
        <v> </v>
      </c>
      <c r="F10" s="376" t="str">
        <f ca="1" t="shared" si="0"/>
        <v> </v>
      </c>
      <c r="G10" s="377" t="str">
        <f t="shared" si="1"/>
        <v> </v>
      </c>
      <c r="H10" s="378"/>
    </row>
    <row r="11" spans="1:8">
      <c r="A11" s="364"/>
      <c r="B11" s="370" t="str">
        <f>IF(ISBLANK('1、课程目标与考核方式'!A8)," ",'1、课程目标与考核方式'!A8)</f>
        <v> </v>
      </c>
      <c r="C11" s="374" t="str">
        <f>IF(B11=" "," ",'1、课程目标与考核方式'!H8/'1、课程目标与考核方式'!$H$13*'1、课程目标与考核方式'!$I$13)</f>
        <v> </v>
      </c>
      <c r="D11" s="370" t="str">
        <f>IF(B11=" "," ",SUMIF(期末试卷分析表!$B$6:$CC$6,RIGHT('5、打印达成度'!B11,LEN('5、打印达成度'!B11)-LEN("课程目标")),期末试卷分析表!$B$7:$CC$7))</f>
        <v> </v>
      </c>
      <c r="E11" s="375" t="str">
        <f ca="1">IF(B11=" "," ",SUMIF(期末成绩分析表!$B$6:$CC$6,RIGHT('5、打印达成度'!B11,LEN('5、打印达成度'!B11)-LEN("课程目标")),期末成绩分析表!$B$5:$CC$5))</f>
        <v> </v>
      </c>
      <c r="F11" s="376" t="str">
        <f ca="1" t="shared" si="0"/>
        <v> </v>
      </c>
      <c r="G11" s="377" t="str">
        <f t="shared" si="1"/>
        <v> </v>
      </c>
      <c r="H11" s="378"/>
    </row>
    <row r="12" spans="1:8">
      <c r="A12" s="364"/>
      <c r="B12" s="370" t="str">
        <f>IF(ISBLANK('1、课程目标与考核方式'!A9)," ",'1、课程目标与考核方式'!A9)</f>
        <v> </v>
      </c>
      <c r="C12" s="374" t="str">
        <f>IF(B12=" "," ",'1、课程目标与考核方式'!H9/'1、课程目标与考核方式'!$H$13*'1、课程目标与考核方式'!$I$13)</f>
        <v> </v>
      </c>
      <c r="D12" s="370" t="str">
        <f>IF(B12=" "," ",SUMIF(期末试卷分析表!$B$6:$CC$6,RIGHT('5、打印达成度'!B12,LEN('5、打印达成度'!B12)-LEN("课程目标")),期末试卷分析表!$B$7:$CC$7))</f>
        <v> </v>
      </c>
      <c r="E12" s="375" t="str">
        <f ca="1">IF(B12=" "," ",SUMIF(期末成绩分析表!$B$6:$CC$6,RIGHT('5、打印达成度'!B12,LEN('5、打印达成度'!B12)-LEN("课程目标")),期末成绩分析表!$B$5:$CC$5))</f>
        <v> </v>
      </c>
      <c r="F12" s="376" t="str">
        <f ca="1" t="shared" si="0"/>
        <v> </v>
      </c>
      <c r="G12" s="377" t="str">
        <f t="shared" si="1"/>
        <v> </v>
      </c>
      <c r="H12" s="378"/>
    </row>
    <row r="13" spans="1:8">
      <c r="A13" s="364"/>
      <c r="B13" s="370" t="str">
        <f>IF(ISBLANK('1、课程目标与考核方式'!A10)," ",'1、课程目标与考核方式'!A10)</f>
        <v> </v>
      </c>
      <c r="C13" s="374" t="str">
        <f>IF(B13=" "," ",'1、课程目标与考核方式'!H10/'1、课程目标与考核方式'!$H$13*'1、课程目标与考核方式'!$I$13)</f>
        <v> </v>
      </c>
      <c r="D13" s="370" t="str">
        <f>IF(B13=" "," ",SUMIF(期末试卷分析表!$B$6:$CC$6,RIGHT('5、打印达成度'!B13,LEN('5、打印达成度'!B13)-LEN("课程目标")),期末试卷分析表!$B$7:$CC$7))</f>
        <v> </v>
      </c>
      <c r="E13" s="375" t="str">
        <f ca="1">IF(B13=" "," ",SUMIF(期末成绩分析表!$B$6:$CC$6,RIGHT('5、打印达成度'!B13,LEN('5、打印达成度'!B13)-LEN("课程目标")),期末成绩分析表!$B$5:$CC$5))</f>
        <v> </v>
      </c>
      <c r="F13" s="376" t="str">
        <f ca="1" t="shared" si="0"/>
        <v> </v>
      </c>
      <c r="G13" s="377" t="str">
        <f t="shared" si="1"/>
        <v> </v>
      </c>
      <c r="H13" s="378"/>
    </row>
    <row r="14" spans="1:8">
      <c r="A14" s="364"/>
      <c r="B14" s="370" t="str">
        <f>IF(ISBLANK('1、课程目标与考核方式'!A11)," ",'1、课程目标与考核方式'!A11)</f>
        <v> </v>
      </c>
      <c r="C14" s="374" t="str">
        <f>IF(B14=" "," ",'1、课程目标与考核方式'!H11/'1、课程目标与考核方式'!$H$13*'1、课程目标与考核方式'!$I$13)</f>
        <v> </v>
      </c>
      <c r="D14" s="370" t="str">
        <f>IF(B14=" "," ",SUMIF(期末试卷分析表!$B$6:$CC$6,RIGHT('5、打印达成度'!B14,LEN('5、打印达成度'!B14)-LEN("课程目标")),期末试卷分析表!$B$7:$CC$7))</f>
        <v> </v>
      </c>
      <c r="E14" s="375" t="str">
        <f ca="1">IF(B14=" "," ",SUMIF(期末成绩分析表!$B$6:$CC$6,RIGHT('5、打印达成度'!B14,LEN('5、打印达成度'!B14)-LEN("课程目标")),期末成绩分析表!$B$5:$CC$5))</f>
        <v> </v>
      </c>
      <c r="F14" s="376" t="str">
        <f ca="1" t="shared" si="0"/>
        <v> </v>
      </c>
      <c r="G14" s="377" t="str">
        <f t="shared" si="1"/>
        <v> </v>
      </c>
      <c r="H14" s="378"/>
    </row>
    <row r="15" spans="1:8">
      <c r="A15" s="364"/>
      <c r="B15" s="379" t="str">
        <f>IF(ISBLANK('1、课程目标与考核方式'!A14)," ",'1、课程目标与考核方式'!A14)</f>
        <v>如果没有某考核项，请保证对应单元格中的内容为空，不要写0
如果没有对应课程目标，也请删除相关行的“课程目标X"
所有表单中红色的动不了，只能动绿的~~~</v>
      </c>
      <c r="C15" s="380">
        <f>IF(B15=" "," ",'1、课程目标与考核方式'!H14/'1、课程目标与考核方式'!$H$13*'1、课程目标与考核方式'!$I$13)</f>
        <v>0</v>
      </c>
      <c r="D15" s="381">
        <f>IF(B15=" "," ",SUMIF(期末试卷分析表!$B$6:$CC$6,RIGHT('5、打印达成度'!B15,LEN('5、打印达成度'!B15)-LEN("课程目标")),期末试卷分析表!$B$7:$CC$7))</f>
        <v>0</v>
      </c>
      <c r="E15" s="382">
        <f ca="1">IF(B15=" "," ",SUMIF(期末成绩分析表!$B$6:$CC$6,RIGHT('5、打印达成度'!B15,LEN('5、打印达成度'!B15)-LEN("课程目标")),期末成绩分析表!$B$5:$CC$5))</f>
        <v>0</v>
      </c>
      <c r="F15" s="383" t="str">
        <f ca="1">IF(B15=" "," ",IF(D15=0,"-",E15/D15))</f>
        <v>-</v>
      </c>
      <c r="G15" s="383" t="str">
        <f>IF(B15=" "," ",IF(C15=0,"-",ABS(D15-C15)/C15))</f>
        <v>-</v>
      </c>
      <c r="H15" s="383"/>
    </row>
    <row r="16" spans="1:8">
      <c r="A16" s="364"/>
      <c r="B16" s="384"/>
      <c r="C16" s="385"/>
      <c r="D16" s="384"/>
      <c r="E16" s="386"/>
      <c r="F16" s="387"/>
      <c r="G16" s="387"/>
      <c r="H16" s="387"/>
    </row>
    <row r="17" spans="1:8">
      <c r="A17" s="364"/>
      <c r="B17" s="388" t="s">
        <v>326</v>
      </c>
      <c r="C17" s="389"/>
      <c r="D17" s="389"/>
      <c r="E17" s="389"/>
      <c r="F17" s="389"/>
      <c r="G17" s="389"/>
      <c r="H17" s="390"/>
    </row>
    <row r="18" spans="1:8">
      <c r="A18" s="364"/>
      <c r="B18" s="370"/>
      <c r="C18" s="391" t="str">
        <f>IF(ISBLANK('1、课程目标与考核方式'!C2)," ",'1、课程目标与考核方式'!C2&amp;"(大纲分值)")</f>
        <v>平时作业(大纲分值)</v>
      </c>
      <c r="D18" s="391" t="str">
        <f>IF(ISBLANK('1、课程目标与考核方式'!D2)," ",'1、课程目标与考核方式'!D2&amp;"(大纲分值)")</f>
        <v>1(大纲分值)</v>
      </c>
      <c r="E18" s="391" t="str">
        <f>IF(ISBLANK('1、课程目标与考核方式'!E2)," ",'1、课程目标与考核方式'!E2&amp;"(大纲分值)")</f>
        <v> </v>
      </c>
      <c r="F18" s="391" t="str">
        <f>IF(ISBLANK('1、课程目标与考核方式'!F2)," ",'1、课程目标与考核方式'!F2&amp;"(大纲分值)")</f>
        <v> </v>
      </c>
      <c r="G18" s="391" t="str">
        <f>IF(ISBLANK('1、课程目标与考核方式'!G2)," ",'1、课程目标与考核方式'!G2&amp;"(大纲分值)")</f>
        <v> </v>
      </c>
      <c r="H18" s="392" t="s">
        <v>327</v>
      </c>
    </row>
    <row r="19" spans="1:8">
      <c r="A19" s="364"/>
      <c r="B19" s="373" t="str">
        <f>IF(ISBLANK('1、课程目标与考核方式'!A3)," ",'1、课程目标与考核方式'!A3)</f>
        <v>课程目标1</v>
      </c>
      <c r="C19" s="391" t="str">
        <f ca="1">IF(OR($B19=" ",C18=" ")," ",ROUND(SUM('4、平时成绩'!C$2:C$201)/期末试卷分析表!$B$1*'1、课程目标与考核方式'!C3/'1、课程目标与考核方式'!$I$13,2)&amp;"("&amp;'1、课程目标与考核方式'!C3&amp;")")</f>
        <v>5.37(5)</v>
      </c>
      <c r="D19" s="391" t="str">
        <f ca="1">IF(OR($B19=" ",D18=" ")," ",ROUND(SUM('4、平时成绩'!D$2:D$201)/期末试卷分析表!$B$1*'1、课程目标与考核方式'!D3/'1、课程目标与考核方式'!$I$13,2)&amp;"("&amp;'1、课程目标与考核方式'!D3&amp;")")</f>
        <v>4.2(4)</v>
      </c>
      <c r="E19" s="391" t="str">
        <f>IF(OR($B19=" ",E18=" ")," ",ROUND(SUM('4、平时成绩'!E$2:E$201)/期末试卷分析表!$B$1*'1、课程目标与考核方式'!E3/'1、课程目标与考核方式'!$I$13,2)&amp;"("&amp;'1、课程目标与考核方式'!E3&amp;")")</f>
        <v> </v>
      </c>
      <c r="F19" s="391" t="str">
        <f>IF(ISBLANK('1、课程目标与考核方式'!F3)," ",'1、课程目标与考核方式'!F3&amp;"(大纲分值)")</f>
        <v> </v>
      </c>
      <c r="G19" s="391" t="str">
        <f>IF(ISBLANK('1、课程目标与考核方式'!G3)," ",'1、课程目标与考核方式'!G3&amp;"(大纲分值)")</f>
        <v> </v>
      </c>
      <c r="H19" s="393">
        <f ca="1">IF(E19="0()","-",IF(B19=" "," ",(IF(C19=" ",0,LEFT(C19,FIND("(",C19)-1))+IF(D19=" ",0,LEFT(D19,FIND("(",D19)-1))+IF(E19=" ",0,LEFT(E19,FIND("(",E19)-1))+IF(F19=" ",0,LEFT(F19,FIND("(",F19)-1))+IF(G19=" ",0,LEFT(G19,FIND("(",G19)-1)))/SUM('1、课程目标与考核方式'!C3:G3)))</f>
        <v>1.06333333333333</v>
      </c>
    </row>
    <row r="20" spans="1:8">
      <c r="A20" s="364"/>
      <c r="B20" s="373" t="str">
        <f>IF(ISBLANK('1、课程目标与考核方式'!A4)," ",'1、课程目标与考核方式'!A4)</f>
        <v>课程目标2</v>
      </c>
      <c r="C20" s="391" t="str">
        <f ca="1">IF(OR($B20=" ",C19=" ")," ",ROUND(SUM('4、平时成绩'!C$2:C$201)/期末试卷分析表!$B$1*'1、课程目标与考核方式'!C4/'1、课程目标与考核方式'!$I$13,2)&amp;"("&amp;'1、课程目标与考核方式'!C4&amp;")")</f>
        <v>5.37(5)</v>
      </c>
      <c r="D20" s="391" t="str">
        <f ca="1">IF(OR($B20=" ",D19=" ")," ",ROUND(SUM('4、平时成绩'!D$2:D$201)/期末试卷分析表!$B$1*'1、课程目标与考核方式'!D4/'1、课程目标与考核方式'!$I$13,2)&amp;"("&amp;'1、课程目标与考核方式'!D4&amp;")")</f>
        <v>4.2(4)</v>
      </c>
      <c r="E20" s="391" t="str">
        <f>IF(OR($B20=" ",E19=" ")," ",ROUND(SUM('4、平时成绩'!E$2:E$201)/期末试卷分析表!$B$1*'1、课程目标与考核方式'!E4/'1、课程目标与考核方式'!$I$13,2)&amp;"("&amp;'1、课程目标与考核方式'!E4&amp;")")</f>
        <v> </v>
      </c>
      <c r="F20" s="391" t="str">
        <f>IF(ISBLANK('1、课程目标与考核方式'!F4)," ",'1、课程目标与考核方式'!F4&amp;"(大纲分值)")</f>
        <v> </v>
      </c>
      <c r="G20" s="391" t="str">
        <f>IF(ISBLANK('1、课程目标与考核方式'!G4)," ",'1、课程目标与考核方式'!G4&amp;"(大纲分值)")</f>
        <v> </v>
      </c>
      <c r="H20" s="393">
        <f ca="1">IF(E20="0()","-",IF(B20=" "," ",(IF(C20=" ",0,LEFT(C20,FIND("(",C20)-1))+IF(D20=" ",0,LEFT(D20,FIND("(",D20)-1))+IF(E20=" ",0,LEFT(E20,FIND("(",E20)-1))+IF(F20=" ",0,LEFT(F20,FIND("(",F20)-1))+IF(G20=" ",0,LEFT(G20,FIND("(",G20)-1)))/SUM('1、课程目标与考核方式'!C4:G4)))</f>
        <v>1.06333333333333</v>
      </c>
    </row>
    <row r="21" spans="1:8">
      <c r="A21" s="364"/>
      <c r="B21" s="373" t="str">
        <f>IF(ISBLANK('1、课程目标与考核方式'!A5)," ",'1、课程目标与考核方式'!A5)</f>
        <v>课程目标3</v>
      </c>
      <c r="C21" s="391" t="str">
        <f ca="1">IF(OR($B21=" ",C20=" ")," ",ROUND(SUM('4、平时成绩'!C$2:C$201)/期末试卷分析表!$B$1*'1、课程目标与考核方式'!C5/'1、课程目标与考核方式'!$I$13,2)&amp;"("&amp;'1、课程目标与考核方式'!C5&amp;")")</f>
        <v>5.37(5)</v>
      </c>
      <c r="D21" s="391" t="str">
        <f ca="1">IF(OR($B21=" ",D20=" ")," ",ROUND(SUM('4、平时成绩'!D$2:D$201)/期末试卷分析表!$B$1*'1、课程目标与考核方式'!D5/'1、课程目标与考核方式'!$I$13,2)&amp;"("&amp;'1、课程目标与考核方式'!D5&amp;")")</f>
        <v>4.2(4)</v>
      </c>
      <c r="E21" s="391" t="str">
        <f>IF(OR($B21=" ",E20=" ")," ",ROUND(SUM('4、平时成绩'!E$2:E$201)/期末试卷分析表!$B$1*'1、课程目标与考核方式'!E5/'1、课程目标与考核方式'!$I$13,2)&amp;"("&amp;'1、课程目标与考核方式'!E5&amp;")")</f>
        <v> </v>
      </c>
      <c r="F21" s="391" t="str">
        <f>IF(ISBLANK('1、课程目标与考核方式'!F5)," ",'1、课程目标与考核方式'!F5&amp;"(大纲分值)")</f>
        <v> </v>
      </c>
      <c r="G21" s="391" t="str">
        <f>IF(ISBLANK('1、课程目标与考核方式'!G5)," ",'1、课程目标与考核方式'!G5&amp;"(大纲分值)")</f>
        <v> </v>
      </c>
      <c r="H21" s="393">
        <f ca="1">IF(E21="0()","-",IF(B21=" "," ",(IF(C21=" ",0,LEFT(C21,FIND("(",C21)-1))+IF(D21=" ",0,LEFT(D21,FIND("(",D21)-1))+IF(E21=" ",0,LEFT(E21,FIND("(",E21)-1))+IF(F21=" ",0,LEFT(F21,FIND("(",F21)-1))+IF(G21=" ",0,LEFT(G21,FIND("(",G21)-1)))/SUM('1、课程目标与考核方式'!C5:G5)))</f>
        <v>1.06333333333333</v>
      </c>
    </row>
    <row r="22" spans="1:8">
      <c r="A22" s="364"/>
      <c r="B22" s="373" t="str">
        <f>IF(ISBLANK('1、课程目标与考核方式'!A6)," ",'1、课程目标与考核方式'!A6)</f>
        <v> </v>
      </c>
      <c r="C22" s="391" t="str">
        <f ca="1">IF(OR($B22=" ",C21=" ")," ",ROUND(SUM('4、平时成绩'!C$2:C$201)/期末试卷分析表!$B$1*'1、课程目标与考核方式'!C6/'1、课程目标与考核方式'!$I$13,2)&amp;"("&amp;'1、课程目标与考核方式'!C6&amp;")")</f>
        <v> </v>
      </c>
      <c r="D22" s="391" t="str">
        <f ca="1">IF(OR($B22=" ",D21=" ")," ",ROUND(SUM('4、平时成绩'!D$2:D$201)/期末试卷分析表!$B$1*'1、课程目标与考核方式'!D6/'1、课程目标与考核方式'!$I$13,2)&amp;"("&amp;'1、课程目标与考核方式'!D6&amp;")")</f>
        <v> </v>
      </c>
      <c r="E22" s="391" t="str">
        <f>IF(OR($B22=" ",E21=" ")," ",ROUND(SUM('4、平时成绩'!E$2:E$201)/期末试卷分析表!$B$1*'1、课程目标与考核方式'!E6/'1、课程目标与考核方式'!$I$13,2)&amp;"("&amp;'1、课程目标与考核方式'!E6&amp;")")</f>
        <v> </v>
      </c>
      <c r="F22" s="391" t="str">
        <f>IF(ISBLANK('1、课程目标与考核方式'!F6)," ",'1、课程目标与考核方式'!F6&amp;"(大纲分值)")</f>
        <v> </v>
      </c>
      <c r="G22" s="391" t="str">
        <f>IF(ISBLANK('1、课程目标与考核方式'!G6)," ",'1、课程目标与考核方式'!G6&amp;"(大纲分值)")</f>
        <v> </v>
      </c>
      <c r="H22" s="393" t="str">
        <f ca="1">IF(E22="0()","-",IF(B22=" "," ",(IF(C22=" ",0,LEFT(C22,FIND("(",C22)-1))+IF(D22=" ",0,LEFT(D22,FIND("(",D22)-1))+IF(E22=" ",0,LEFT(E22,FIND("(",E22)-1))+IF(F22=" ",0,LEFT(F22,FIND("(",F22)-1))+IF(G22=" ",0,LEFT(G22,FIND("(",G22)-1)))/SUM('1、课程目标与考核方式'!C6:G6)))</f>
        <v> </v>
      </c>
    </row>
    <row r="23" spans="1:8">
      <c r="A23" s="364"/>
      <c r="B23" s="373" t="str">
        <f>IF(ISBLANK('1、课程目标与考核方式'!A7)," ",'1、课程目标与考核方式'!A7)</f>
        <v> </v>
      </c>
      <c r="C23" s="391" t="str">
        <f ca="1">IF(OR($B23=" ",C22=" ")," ",ROUND(SUM('4、平时成绩'!C$2:C$201)/期末试卷分析表!$B$1*'1、课程目标与考核方式'!C7/'1、课程目标与考核方式'!$I$13,2)&amp;"("&amp;'1、课程目标与考核方式'!C7&amp;")")</f>
        <v> </v>
      </c>
      <c r="D23" s="391" t="str">
        <f ca="1">IF(OR($B23=" ",D22=" ")," ",ROUND(SUM('4、平时成绩'!D$2:D$201)/期末试卷分析表!$B$1*'1、课程目标与考核方式'!D7/'1、课程目标与考核方式'!$I$13,2)&amp;"("&amp;'1、课程目标与考核方式'!D7&amp;")")</f>
        <v> </v>
      </c>
      <c r="E23" s="391" t="str">
        <f>IF(OR($B23=" ",E22=" ")," ",ROUND(SUM('4、平时成绩'!E$2:E$201)/期末试卷分析表!$B$1*'1、课程目标与考核方式'!E7/'1、课程目标与考核方式'!$I$13,2)&amp;"("&amp;'1、课程目标与考核方式'!E7&amp;")")</f>
        <v> </v>
      </c>
      <c r="F23" s="391" t="str">
        <f>IF(ISBLANK('1、课程目标与考核方式'!F7)," ",'1、课程目标与考核方式'!F7&amp;"(大纲分值)")</f>
        <v> </v>
      </c>
      <c r="G23" s="391" t="str">
        <f>IF(ISBLANK('1、课程目标与考核方式'!G7)," ",'1、课程目标与考核方式'!G7&amp;"(大纲分值)")</f>
        <v> </v>
      </c>
      <c r="H23" s="393" t="str">
        <f ca="1">IF(E23="0()","-",IF(B23=" "," ",(IF(C23=" ",0,LEFT(C23,FIND("(",C23)-1))+IF(D23=" ",0,LEFT(D23,FIND("(",D23)-1))+IF(E23=" ",0,LEFT(E23,FIND("(",E23)-1))+IF(F23=" ",0,LEFT(F23,FIND("(",F23)-1))+IF(G23=" ",0,LEFT(G23,FIND("(",G23)-1)))/SUM('1、课程目标与考核方式'!C7:G7)))</f>
        <v> </v>
      </c>
    </row>
    <row r="24" spans="1:8">
      <c r="A24" s="364"/>
      <c r="B24" s="373" t="str">
        <f>IF(ISBLANK('1、课程目标与考核方式'!A8)," ",'1、课程目标与考核方式'!A8)</f>
        <v> </v>
      </c>
      <c r="C24" s="391" t="str">
        <f ca="1">IF(OR($B24=" ",C23=" ")," ",ROUND(SUM('4、平时成绩'!C$2:C$201)/期末试卷分析表!$B$1*'1、课程目标与考核方式'!C8/'1、课程目标与考核方式'!$I$13,2)&amp;"("&amp;'1、课程目标与考核方式'!C8&amp;")")</f>
        <v> </v>
      </c>
      <c r="D24" s="391" t="str">
        <f ca="1">IF(OR($B24=" ",D23=" ")," ",ROUND(SUM('4、平时成绩'!D$2:D$201)/期末试卷分析表!$B$1*'1、课程目标与考核方式'!D8/'1、课程目标与考核方式'!$I$13,2)&amp;"("&amp;'1、课程目标与考核方式'!D8&amp;")")</f>
        <v> </v>
      </c>
      <c r="E24" s="391" t="str">
        <f>IF(OR($B24=" ",E23=" ")," ",ROUND(SUM('4、平时成绩'!E$2:E$201)/期末试卷分析表!$B$1*'1、课程目标与考核方式'!E8/'1、课程目标与考核方式'!$I$13,2)&amp;"("&amp;'1、课程目标与考核方式'!E8&amp;")")</f>
        <v> </v>
      </c>
      <c r="F24" s="391" t="str">
        <f>IF(ISBLANK('1、课程目标与考核方式'!F8)," ",'1、课程目标与考核方式'!F8&amp;"(大纲分值)")</f>
        <v> </v>
      </c>
      <c r="G24" s="391" t="str">
        <f>IF(ISBLANK('1、课程目标与考核方式'!G8)," ",'1、课程目标与考核方式'!G8&amp;"(大纲分值)")</f>
        <v> </v>
      </c>
      <c r="H24" s="393" t="str">
        <f ca="1">IF(E24="0()","-",IF(B24=" "," ",(IF(C24=" ",0,LEFT(C24,FIND("(",C24)-1))+IF(D24=" ",0,LEFT(D24,FIND("(",D24)-1))+IF(E24=" ",0,LEFT(E24,FIND("(",E24)-1))+IF(F24=" ",0,LEFT(F24,FIND("(",F24)-1))+IF(G24=" ",0,LEFT(G24,FIND("(",G24)-1)))/SUM('1、课程目标与考核方式'!C8:G8)))</f>
        <v> </v>
      </c>
    </row>
    <row r="25" spans="1:8">
      <c r="A25" s="364"/>
      <c r="B25" s="373" t="str">
        <f>IF(ISBLANK('1、课程目标与考核方式'!A9)," ",'1、课程目标与考核方式'!A9)</f>
        <v> </v>
      </c>
      <c r="C25" s="391" t="str">
        <f ca="1">IF(OR($B25=" ",C24=" ")," ",ROUND(SUM('4、平时成绩'!C$2:C$201)/期末试卷分析表!$B$1*'1、课程目标与考核方式'!C9/'1、课程目标与考核方式'!$I$13,2)&amp;"("&amp;'1、课程目标与考核方式'!C9&amp;")")</f>
        <v> </v>
      </c>
      <c r="D25" s="391" t="str">
        <f ca="1">IF(OR($B25=" ",D24=" ")," ",ROUND(SUM('4、平时成绩'!D$2:D$201)/期末试卷分析表!$B$1*'1、课程目标与考核方式'!D9/'1、课程目标与考核方式'!$I$13,2)&amp;"("&amp;'1、课程目标与考核方式'!D9&amp;")")</f>
        <v> </v>
      </c>
      <c r="E25" s="391" t="str">
        <f>IF(OR($B25=" ",E24=" ")," ",ROUND(SUM('4、平时成绩'!E$2:E$201)/期末试卷分析表!$B$1*'1、课程目标与考核方式'!E9/'1、课程目标与考核方式'!$I$13,2)&amp;"("&amp;'1、课程目标与考核方式'!E9&amp;")")</f>
        <v> </v>
      </c>
      <c r="F25" s="391" t="str">
        <f>IF(ISBLANK('1、课程目标与考核方式'!F9)," ",'1、课程目标与考核方式'!F9&amp;"(大纲分值)")</f>
        <v> </v>
      </c>
      <c r="G25" s="391" t="str">
        <f>IF(ISBLANK('1、课程目标与考核方式'!G9)," ",'1、课程目标与考核方式'!G9&amp;"(大纲分值)")</f>
        <v> </v>
      </c>
      <c r="H25" s="393" t="str">
        <f ca="1">IF(E25="0()","-",IF(B25=" "," ",(IF(C25=" ",0,LEFT(C25,FIND("(",C25)-1))+IF(D25=" ",0,LEFT(D25,FIND("(",D25)-1))+IF(E25=" ",0,LEFT(E25,FIND("(",E25)-1))+IF(F25=" ",0,LEFT(F25,FIND("(",F25)-1))+IF(G25=" ",0,LEFT(G25,FIND("(",G25)-1)))/SUM('1、课程目标与考核方式'!C9:G9)))</f>
        <v> </v>
      </c>
    </row>
    <row r="26" spans="1:8">
      <c r="A26" s="364"/>
      <c r="B26" s="373" t="str">
        <f>IF(ISBLANK('1、课程目标与考核方式'!A10)," ",'1、课程目标与考核方式'!A10)</f>
        <v> </v>
      </c>
      <c r="C26" s="391" t="str">
        <f ca="1">IF(OR($B26=" ",C25=" ")," ",ROUND(SUM('4、平时成绩'!C$2:C$201)/期末试卷分析表!$B$1*'1、课程目标与考核方式'!C10/'1、课程目标与考核方式'!$I$13,2)&amp;"("&amp;'1、课程目标与考核方式'!C10&amp;")")</f>
        <v> </v>
      </c>
      <c r="D26" s="391" t="str">
        <f ca="1">IF(OR($B26=" ",D25=" ")," ",ROUND(SUM('4、平时成绩'!D$2:D$201)/期末试卷分析表!$B$1*'1、课程目标与考核方式'!D10/'1、课程目标与考核方式'!$I$13,2)&amp;"("&amp;'1、课程目标与考核方式'!D10&amp;")")</f>
        <v> </v>
      </c>
      <c r="E26" s="391" t="str">
        <f>IF(OR($B26=" ",E25=" ")," ",ROUND(SUM('4、平时成绩'!E$2:E$201)/期末试卷分析表!$B$1*'1、课程目标与考核方式'!E10/'1、课程目标与考核方式'!$I$13,2)&amp;"("&amp;'1、课程目标与考核方式'!E10&amp;")")</f>
        <v> </v>
      </c>
      <c r="F26" s="391" t="str">
        <f>IF(ISBLANK('1、课程目标与考核方式'!F10)," ",'1、课程目标与考核方式'!F10&amp;"(大纲分值)")</f>
        <v> </v>
      </c>
      <c r="G26" s="391" t="str">
        <f>IF(ISBLANK('1、课程目标与考核方式'!G10)," ",'1、课程目标与考核方式'!G10&amp;"(大纲分值)")</f>
        <v> </v>
      </c>
      <c r="H26" s="393" t="str">
        <f ca="1">IF(E26="0()","-",IF(B26=" "," ",(IF(C26=" ",0,LEFT(C26,FIND("(",C26)-1))+IF(D26=" ",0,LEFT(D26,FIND("(",D26)-1))+IF(E26=" ",0,LEFT(E26,FIND("(",E26)-1))+IF(F26=" ",0,LEFT(F26,FIND("(",F26)-1))+IF(G26=" ",0,LEFT(G26,FIND("(",G26)-1)))/SUM('1、课程目标与考核方式'!C10:G10)))</f>
        <v> </v>
      </c>
    </row>
    <row r="27" spans="1:8">
      <c r="A27" s="364"/>
      <c r="B27" s="373" t="str">
        <f>IF(ISBLANK('1、课程目标与考核方式'!A11)," ",'1、课程目标与考核方式'!A11)</f>
        <v> </v>
      </c>
      <c r="C27" s="391" t="str">
        <f ca="1">IF(OR($B27=" ",C26=" ")," ",ROUND(SUM('4、平时成绩'!C$2:C$201)/期末试卷分析表!$B$1*'1、课程目标与考核方式'!C11/'1、课程目标与考核方式'!$I$13,2)&amp;"("&amp;'1、课程目标与考核方式'!C11&amp;")")</f>
        <v> </v>
      </c>
      <c r="D27" s="391" t="str">
        <f ca="1">IF(OR($B27=" ",D26=" ")," ",ROUND(SUM('4、平时成绩'!D$2:D$201)/期末试卷分析表!$B$1*'1、课程目标与考核方式'!D11/'1、课程目标与考核方式'!$I$13,2)&amp;"("&amp;'1、课程目标与考核方式'!D11&amp;")")</f>
        <v> </v>
      </c>
      <c r="E27" s="391" t="str">
        <f>IF(OR($B27=" ",E26=" ")," ",ROUND(SUM('4、平时成绩'!E$2:E$201)/期末试卷分析表!$B$1*'1、课程目标与考核方式'!E11/'1、课程目标与考核方式'!$I$13,2)&amp;"("&amp;'1、课程目标与考核方式'!E11&amp;")")</f>
        <v> </v>
      </c>
      <c r="F27" s="391" t="str">
        <f>IF(ISBLANK('1、课程目标与考核方式'!F11)," ",'1、课程目标与考核方式'!F11&amp;"(大纲分值)")</f>
        <v> </v>
      </c>
      <c r="G27" s="391" t="str">
        <f>IF(ISBLANK('1、课程目标与考核方式'!G11)," ",'1、课程目标与考核方式'!G11&amp;"(大纲分值)")</f>
        <v> </v>
      </c>
      <c r="H27" s="393" t="str">
        <f ca="1">IF(E27="0()","-",IF(B27=" "," ",(IF(C27=" ",0,LEFT(C27,FIND("(",C27)-1))+IF(D27=" ",0,LEFT(D27,FIND("(",D27)-1))+IF(E27=" ",0,LEFT(E27,FIND("(",E27)-1))+IF(F27=" ",0,LEFT(F27,FIND("(",F27)-1))+IF(G27=" ",0,LEFT(G27,FIND("(",G27)-1)))/SUM('1、课程目标与考核方式'!C11:G11)))</f>
        <v> </v>
      </c>
    </row>
    <row r="28" spans="1:8">
      <c r="A28" s="364"/>
      <c r="B28" s="384"/>
      <c r="C28" s="385"/>
      <c r="D28" s="384"/>
      <c r="E28" s="386"/>
      <c r="F28" s="387"/>
      <c r="G28" s="387"/>
      <c r="H28" s="387"/>
    </row>
    <row r="29" spans="1:8">
      <c r="A29" s="364"/>
      <c r="B29" s="394" t="s">
        <v>24</v>
      </c>
      <c r="C29" s="395"/>
      <c r="D29" s="395"/>
      <c r="E29" s="396"/>
      <c r="F29" s="387"/>
      <c r="G29" s="387"/>
      <c r="H29" s="387"/>
    </row>
    <row r="30" spans="1:8">
      <c r="A30" s="364"/>
      <c r="B30" s="370"/>
      <c r="C30" s="391" t="s">
        <v>328</v>
      </c>
      <c r="D30" s="370" t="s">
        <v>329</v>
      </c>
      <c r="E30" s="396"/>
      <c r="F30" s="387"/>
      <c r="G30" s="387"/>
      <c r="H30" s="387"/>
    </row>
    <row r="31" spans="1:8">
      <c r="A31" s="364"/>
      <c r="B31" s="370" t="str">
        <f>IF(ISBLANK('1、课程目标与考核方式'!A3)," ",'1、课程目标与考核方式'!A3)</f>
        <v>课程目标1</v>
      </c>
      <c r="C31" s="397">
        <f>IF(B31=" "," ",'1、课程目标与考核方式'!I3/'1、课程目标与考核方式'!$I$13)</f>
        <v>0.376623376623377</v>
      </c>
      <c r="D31" s="398">
        <f ca="1">IF(F6=0,H19,IF(C31=0,"",IF(OR(C31=0,C31=" "),"",('5、打印达成度'!F6*'1、课程目标与考核方式'!$H$13+'5、打印达成度'!H19*SUM('1、课程目标与考核方式'!$C$13:$G$13))/'1、课程目标与考核方式'!$I$13)))</f>
        <v>1.06333333333333</v>
      </c>
      <c r="E31" s="399">
        <f>IF(OR('1、课程目标与考核方式'!B3="",'1、课程目标与考核方式'!B3="下拉选择"),0,'1、课程目标与考核方式'!B3)</f>
        <v>2.3</v>
      </c>
      <c r="F31" s="387"/>
      <c r="G31" s="387"/>
      <c r="H31" s="387"/>
    </row>
    <row r="32" spans="1:9">
      <c r="A32" s="364"/>
      <c r="B32" s="370" t="str">
        <f>IF(ISBLANK('1、课程目标与考核方式'!A4)," ",'1、课程目标与考核方式'!A4)</f>
        <v>课程目标2</v>
      </c>
      <c r="C32" s="397">
        <f>IF(B32=" "," ",'1、课程目标与考核方式'!I4/'1、课程目标与考核方式'!$I$13)</f>
        <v>0.38961038961039</v>
      </c>
      <c r="D32" s="398">
        <f ca="1">IF(F7=0,H20,IF(C32=0,"",IF(OR(C32=0,C32=" "),"",('5、打印达成度'!F7*'1、课程目标与考核方式'!$H$13+'5、打印达成度'!H20*SUM('1、课程目标与考核方式'!$C$13:$G$13))/'1、课程目标与考核方式'!$I$13)))</f>
        <v>0.98974025974026</v>
      </c>
      <c r="E32" s="399">
        <f>IF(OR('1、课程目标与考核方式'!B4="",'1、课程目标与考核方式'!B4="下拉选择"),0,'1、课程目标与考核方式'!B4)</f>
        <v>3.4</v>
      </c>
      <c r="F32" s="387"/>
      <c r="G32" s="387"/>
      <c r="H32" s="387"/>
      <c r="I32" s="419"/>
    </row>
    <row r="33" spans="1:8">
      <c r="A33" s="364"/>
      <c r="B33" s="370" t="str">
        <f>IF(ISBLANK('1、课程目标与考核方式'!A5)," ",'1、课程目标与考核方式'!A5)</f>
        <v>课程目标3</v>
      </c>
      <c r="C33" s="397">
        <f>IF(B33=" "," ",'1、课程目标与考核方式'!I5/'1、课程目标与考核方式'!$I$13)</f>
        <v>0.233766233766234</v>
      </c>
      <c r="D33" s="398">
        <f ca="1">IF(F8=0,H21,IF(C33=0,"",IF(OR(C33=0,C33=" "),"",('5、打印达成度'!F8*'1、课程目标与考核方式'!$H$13+'5、打印达成度'!H21*SUM('1、课程目标与考核方式'!$C$13:$G$13))/'1、课程目标与考核方式'!$I$13)))</f>
        <v>0.98974025974026</v>
      </c>
      <c r="E33" s="399">
        <f>IF(OR('1、课程目标与考核方式'!B5="",'1、课程目标与考核方式'!B5="下拉选择"),0,'1、课程目标与考核方式'!B5)</f>
        <v>5.3</v>
      </c>
      <c r="F33" s="387"/>
      <c r="G33" s="387"/>
      <c r="H33" s="387"/>
    </row>
    <row r="34" spans="1:8">
      <c r="A34" s="364"/>
      <c r="B34" s="370" t="str">
        <f>IF(ISBLANK('1、课程目标与考核方式'!A6)," ",'1、课程目标与考核方式'!A6)</f>
        <v> </v>
      </c>
      <c r="C34" s="397" t="str">
        <f>IF(B34=" "," ",'1、课程目标与考核方式'!I6/'1、课程目标与考核方式'!$I$13)</f>
        <v> </v>
      </c>
      <c r="D34" s="398" t="str">
        <f ca="1">IF(F9=0,H22,IF(C34=0,"",IF(OR(C34=0,C34=" "),"",('5、打印达成度'!F9*'1、课程目标与考核方式'!$H$13+'5、打印达成度'!H22*SUM('1、课程目标与考核方式'!$C$13:$G$13))/'1、课程目标与考核方式'!$I$13)))</f>
        <v/>
      </c>
      <c r="E34" s="399">
        <f>IF(OR('1、课程目标与考核方式'!B6="",'1、课程目标与考核方式'!B6="下拉选择"),0,'1、课程目标与考核方式'!B6)</f>
        <v>0</v>
      </c>
      <c r="F34" s="387"/>
      <c r="G34" s="387"/>
      <c r="H34" s="387"/>
    </row>
    <row r="35" spans="1:8">
      <c r="A35" s="364"/>
      <c r="B35" s="370" t="str">
        <f>IF(ISBLANK('1、课程目标与考核方式'!A7)," ",'1、课程目标与考核方式'!A7)</f>
        <v> </v>
      </c>
      <c r="C35" s="397" t="str">
        <f>IF(B35=" "," ",'1、课程目标与考核方式'!I7/'1、课程目标与考核方式'!$I$13)</f>
        <v> </v>
      </c>
      <c r="D35" s="398" t="str">
        <f ca="1">IF(F10=0,H23,IF(C35=0,"",IF(OR(C35=0,C35=" "),"",('5、打印达成度'!F10*'1、课程目标与考核方式'!$H$13+'5、打印达成度'!H23*SUM('1、课程目标与考核方式'!$C$13:$G$13))/'1、课程目标与考核方式'!$I$13)))</f>
        <v/>
      </c>
      <c r="E35" s="399">
        <f>IF(OR('1、课程目标与考核方式'!B7="",'1、课程目标与考核方式'!B7="下拉选择"),0,'1、课程目标与考核方式'!B7)</f>
        <v>0</v>
      </c>
      <c r="F35" s="387"/>
      <c r="G35" s="364"/>
      <c r="H35" s="364"/>
    </row>
    <row r="36" spans="1:8">
      <c r="A36" s="364"/>
      <c r="B36" s="370" t="str">
        <f>IF(ISBLANK('1、课程目标与考核方式'!A8)," ",'1、课程目标与考核方式'!A8)</f>
        <v> </v>
      </c>
      <c r="C36" s="397" t="str">
        <f>IF(B36=" "," ",'1、课程目标与考核方式'!I8/'1、课程目标与考核方式'!$I$13)</f>
        <v> </v>
      </c>
      <c r="D36" s="398" t="str">
        <f ca="1">IF(F11=0,H24,IF(C36=0,"",IF(OR(C36=0,C36=" "),"",('5、打印达成度'!F11*'1、课程目标与考核方式'!$H$13+'5、打印达成度'!H24*SUM('1、课程目标与考核方式'!$C$13:$G$13))/'1、课程目标与考核方式'!$I$13)))</f>
        <v/>
      </c>
      <c r="E36" s="399">
        <f>IF(OR('1、课程目标与考核方式'!B8="",'1、课程目标与考核方式'!B8="下拉选择"),0,'1、课程目标与考核方式'!B8)</f>
        <v>0</v>
      </c>
      <c r="F36" s="387"/>
      <c r="G36" s="364"/>
      <c r="H36" s="364"/>
    </row>
    <row r="37" spans="1:8">
      <c r="A37" s="364"/>
      <c r="B37" s="370" t="str">
        <f>IF(ISBLANK('1、课程目标与考核方式'!A9)," ",'1、课程目标与考核方式'!A9)</f>
        <v> </v>
      </c>
      <c r="C37" s="397" t="str">
        <f>IF(B37=" "," ",'1、课程目标与考核方式'!I9/'1、课程目标与考核方式'!$I$13)</f>
        <v> </v>
      </c>
      <c r="D37" s="398" t="str">
        <f ca="1">IF(F12=0,H25,IF(C37=0,"",IF(OR(C37=0,C37=" "),"",('5、打印达成度'!F12*'1、课程目标与考核方式'!$H$13+'5、打印达成度'!H25*SUM('1、课程目标与考核方式'!$C$13:$G$13))/'1、课程目标与考核方式'!$I$13)))</f>
        <v/>
      </c>
      <c r="E37" s="399">
        <f>IF(OR('1、课程目标与考核方式'!B9="",'1、课程目标与考核方式'!B9="下拉选择"),0,'1、课程目标与考核方式'!B9)</f>
        <v>0</v>
      </c>
      <c r="F37" s="387"/>
      <c r="G37" s="364"/>
      <c r="H37" s="364"/>
    </row>
    <row r="38" spans="1:8">
      <c r="A38" s="364"/>
      <c r="B38" s="370" t="str">
        <f>IF(ISBLANK('1、课程目标与考核方式'!A10)," ",'1、课程目标与考核方式'!A10)</f>
        <v> </v>
      </c>
      <c r="C38" s="397" t="str">
        <f>IF(B38=" "," ",'1、课程目标与考核方式'!I10/'1、课程目标与考核方式'!$I$13)</f>
        <v> </v>
      </c>
      <c r="D38" s="398" t="str">
        <f ca="1">IF(F13=0,H26,IF(C38=0,"",IF(OR(C38=0,C38=" "),"",('5、打印达成度'!F13*'1、课程目标与考核方式'!$H$13+'5、打印达成度'!H26*SUM('1、课程目标与考核方式'!$C$13:$G$13))/'1、课程目标与考核方式'!$I$13)))</f>
        <v/>
      </c>
      <c r="E38" s="399" t="str">
        <f>IF(OR('1、课程目标与考核方式'!B10="",'1、课程目标与考核方式'!B10="下拉选择"),0,'1、课程目标与考核方式'!B10)</f>
        <v>下拉列表</v>
      </c>
      <c r="F38" s="387"/>
      <c r="G38" s="364"/>
      <c r="H38" s="364"/>
    </row>
    <row r="39" spans="1:8">
      <c r="A39" s="364"/>
      <c r="B39" s="370" t="str">
        <f>IF(ISBLANK('1、课程目标与考核方式'!A11)," ",'1、课程目标与考核方式'!A11)</f>
        <v> </v>
      </c>
      <c r="C39" s="397" t="str">
        <f>IF(B39=" "," ",'1、课程目标与考核方式'!I11/'1、课程目标与考核方式'!$I$13)</f>
        <v> </v>
      </c>
      <c r="D39" s="398" t="str">
        <f ca="1">IF(F14=0,H27,IF(C39=0,"",IF(OR(C39=0,C39=" "),"",('5、打印达成度'!F14*'1、课程目标与考核方式'!$H$13+'5、打印达成度'!H27*SUM('1、课程目标与考核方式'!$C$13:$G$13))/'1、课程目标与考核方式'!$I$13)))</f>
        <v/>
      </c>
      <c r="E39" s="399" t="str">
        <f>IF(OR('1、课程目标与考核方式'!B11="",'1、课程目标与考核方式'!B11="下拉选择"),0,'1、课程目标与考核方式'!B11)</f>
        <v>下拉列表</v>
      </c>
      <c r="F39" s="387"/>
      <c r="G39" s="364"/>
      <c r="H39" s="364"/>
    </row>
    <row r="40" spans="1:8">
      <c r="A40" s="364"/>
      <c r="B40" s="400" t="s">
        <v>330</v>
      </c>
      <c r="C40" s="372"/>
      <c r="D40" s="393">
        <f ca="1">SUMPRODUCT(C31:C39,D31:D39)</f>
        <v>1.01745713161298</v>
      </c>
      <c r="E40" s="401"/>
      <c r="F40" s="387"/>
      <c r="G40" s="364"/>
      <c r="H40" s="364"/>
    </row>
    <row r="41" spans="1:8">
      <c r="A41" s="364"/>
      <c r="B41" s="402" t="s">
        <v>331</v>
      </c>
      <c r="C41" s="403"/>
      <c r="D41" s="404">
        <f ca="1">MIN(D31:D39)</f>
        <v>0.98974025974026</v>
      </c>
      <c r="E41" s="386"/>
      <c r="F41" s="387"/>
      <c r="G41" s="387"/>
      <c r="H41" s="387"/>
    </row>
    <row r="42" ht="20.1" customHeight="1" spans="1:8">
      <c r="A42" s="364"/>
      <c r="B42" s="405" t="s">
        <v>332</v>
      </c>
      <c r="C42" s="405" t="s">
        <v>333</v>
      </c>
      <c r="D42" s="405" t="s">
        <v>334</v>
      </c>
      <c r="E42" s="364"/>
      <c r="F42" s="406" t="s">
        <v>335</v>
      </c>
      <c r="G42" s="407" t="s">
        <v>336</v>
      </c>
      <c r="H42" s="364"/>
    </row>
    <row r="43" ht="20.1" customHeight="1" spans="1:8">
      <c r="A43" s="364"/>
      <c r="B43" s="408">
        <f>'1、课程目标与考核方式'!M3</f>
        <v>2.3</v>
      </c>
      <c r="C43" s="409">
        <f ca="1">IF(B43="","",AVERAGEIF($E$31:$E$39,B43,$D$31:$D$39))</f>
        <v>1.06333333333333</v>
      </c>
      <c r="D43" s="410">
        <f>IF('1、课程目标与考核方式'!M4=0,"",'1、课程目标与考核方式'!M4)</f>
        <v>0.3</v>
      </c>
      <c r="E43" s="364"/>
      <c r="F43" s="364"/>
      <c r="G43" s="364"/>
      <c r="H43" s="364"/>
    </row>
    <row r="44" ht="20.1" customHeight="1" spans="1:8">
      <c r="A44" s="364"/>
      <c r="B44" s="408">
        <f>'1、课程目标与考核方式'!N3</f>
        <v>3.4</v>
      </c>
      <c r="C44" s="409">
        <f ca="1" t="shared" ref="C44:C49" si="2">IF(B44="","",AVERAGEIF($E$31:$E$39,B44,$D$31:$D$39))</f>
        <v>0.98974025974026</v>
      </c>
      <c r="D44" s="410">
        <f>IF('1、课程目标与考核方式'!N4=0,"",'1、课程目标与考核方式'!N4)</f>
        <v>0.1</v>
      </c>
      <c r="E44" s="364"/>
      <c r="F44" s="406" t="s">
        <v>337</v>
      </c>
      <c r="G44" s="407" t="s">
        <v>336</v>
      </c>
      <c r="H44" s="364"/>
    </row>
    <row r="45" ht="20.1" customHeight="1" spans="1:8">
      <c r="A45" s="364"/>
      <c r="B45" s="411">
        <f>'1、课程目标与考核方式'!O3</f>
        <v>5.3</v>
      </c>
      <c r="C45" s="409">
        <f ca="1" t="shared" si="2"/>
        <v>0.98974025974026</v>
      </c>
      <c r="D45" s="410">
        <f>IF('1、课程目标与考核方式'!O4=0,"",'1、课程目标与考核方式'!O4)</f>
        <v>0.2</v>
      </c>
      <c r="E45" s="364"/>
      <c r="F45" s="364"/>
      <c r="G45" s="364"/>
      <c r="H45" s="364"/>
    </row>
    <row r="46" ht="14.1" customHeight="1" spans="1:8">
      <c r="A46" s="364"/>
      <c r="B46" s="408" t="str">
        <f>'1、课程目标与考核方式'!P3</f>
        <v/>
      </c>
      <c r="C46" s="409" t="str">
        <f ca="1" t="shared" si="2"/>
        <v/>
      </c>
      <c r="D46" s="410" t="str">
        <f>IF('1、课程目标与考核方式'!P4=0,"",'1、课程目标与考核方式'!P4)</f>
        <v/>
      </c>
      <c r="E46" s="364"/>
      <c r="F46" s="406" t="s">
        <v>338</v>
      </c>
      <c r="G46" s="407" t="s">
        <v>336</v>
      </c>
      <c r="H46" s="364"/>
    </row>
    <row r="47" ht="14.1" customHeight="1" spans="1:8">
      <c r="A47" s="364"/>
      <c r="B47" s="408" t="str">
        <f>'1、课程目标与考核方式'!Q3</f>
        <v/>
      </c>
      <c r="C47" s="409" t="str">
        <f ca="1" t="shared" si="2"/>
        <v/>
      </c>
      <c r="D47" s="410" t="str">
        <f>IF('1、课程目标与考核方式'!Q4=0,"",'1、课程目标与考核方式'!Q4)</f>
        <v/>
      </c>
      <c r="E47" s="364"/>
      <c r="F47" s="406"/>
      <c r="G47" s="407"/>
      <c r="H47" s="364"/>
    </row>
    <row r="48" ht="14.1" customHeight="1" spans="1:12">
      <c r="A48" s="364"/>
      <c r="B48" s="408" t="str">
        <f>'1、课程目标与考核方式'!R3</f>
        <v/>
      </c>
      <c r="C48" s="409" t="str">
        <f ca="1" t="shared" si="2"/>
        <v/>
      </c>
      <c r="D48" s="410" t="str">
        <f>IF('1、课程目标与考核方式'!R4=0,"",'1、课程目标与考核方式'!R4)</f>
        <v/>
      </c>
      <c r="E48" s="364"/>
      <c r="F48" s="412"/>
      <c r="G48" s="364"/>
      <c r="H48" s="364"/>
      <c r="L48"/>
    </row>
    <row r="49" ht="14.1" customHeight="1" spans="1:8">
      <c r="A49" s="364"/>
      <c r="B49" s="408" t="str">
        <f>'1、课程目标与考核方式'!S3</f>
        <v/>
      </c>
      <c r="C49" s="409" t="str">
        <f ca="1" t="shared" si="2"/>
        <v/>
      </c>
      <c r="D49" s="410" t="str">
        <f>IF('1、课程目标与考核方式'!S4=0,"",'1、课程目标与考核方式'!S4)</f>
        <v/>
      </c>
      <c r="E49" s="364"/>
      <c r="F49" s="413" t="s">
        <v>339</v>
      </c>
      <c r="G49" s="407" t="s">
        <v>336</v>
      </c>
      <c r="H49" s="364"/>
    </row>
    <row r="50" spans="1:8">
      <c r="A50" s="364"/>
      <c r="B50" s="414" t="s">
        <v>340</v>
      </c>
      <c r="C50" s="364"/>
      <c r="D50" s="364"/>
      <c r="E50" s="364"/>
      <c r="F50" s="364"/>
      <c r="G50" s="364"/>
      <c r="H50" s="364"/>
    </row>
    <row r="51" spans="1:8">
      <c r="A51" s="364"/>
      <c r="B51" s="364"/>
      <c r="C51" s="364"/>
      <c r="D51" s="364"/>
      <c r="E51" s="364"/>
      <c r="F51" s="364"/>
      <c r="G51" s="364"/>
      <c r="H51" s="364"/>
    </row>
    <row r="52" spans="1:8">
      <c r="A52" s="364"/>
      <c r="B52" s="415" t="s">
        <v>341</v>
      </c>
      <c r="C52" s="364"/>
      <c r="D52" s="364"/>
      <c r="E52" s="364"/>
      <c r="F52" s="364"/>
      <c r="G52" s="364"/>
      <c r="H52" s="364"/>
    </row>
    <row r="53" spans="1:10">
      <c r="A53" s="364"/>
      <c r="B53" s="416" t="s">
        <v>342</v>
      </c>
      <c r="C53" s="416"/>
      <c r="D53" s="416"/>
      <c r="E53" s="416"/>
      <c r="F53" s="416"/>
      <c r="G53" s="364"/>
      <c r="H53" s="364"/>
      <c r="J53"/>
    </row>
    <row r="54" spans="1:8">
      <c r="A54" s="364"/>
      <c r="B54" s="416"/>
      <c r="C54" s="416"/>
      <c r="D54" s="416"/>
      <c r="E54" s="416"/>
      <c r="F54" s="416"/>
      <c r="G54" s="364"/>
      <c r="H54" s="364"/>
    </row>
    <row r="55" spans="1:8">
      <c r="A55" s="364"/>
      <c r="B55" s="416"/>
      <c r="C55" s="416"/>
      <c r="D55" s="416"/>
      <c r="E55" s="416"/>
      <c r="F55" s="416"/>
      <c r="G55" s="364"/>
      <c r="H55" s="364"/>
    </row>
    <row r="56" spans="1:8">
      <c r="A56" s="364"/>
      <c r="B56" s="416"/>
      <c r="C56" s="416"/>
      <c r="D56" s="416"/>
      <c r="E56" s="416"/>
      <c r="F56" s="416"/>
      <c r="G56" s="364"/>
      <c r="H56" s="364"/>
    </row>
    <row r="57" spans="1:8">
      <c r="A57" s="364"/>
      <c r="B57" s="416"/>
      <c r="C57" s="416"/>
      <c r="D57" s="416"/>
      <c r="E57" s="416"/>
      <c r="F57" s="416"/>
      <c r="G57" s="364"/>
      <c r="H57" s="364"/>
    </row>
    <row r="58" spans="1:8">
      <c r="A58" s="364"/>
      <c r="B58" s="364"/>
      <c r="C58" s="364"/>
      <c r="D58" s="364"/>
      <c r="E58" s="364"/>
      <c r="F58" s="364"/>
      <c r="G58" s="364"/>
      <c r="H58" s="364"/>
    </row>
    <row r="59" spans="1:8">
      <c r="A59" s="364"/>
      <c r="B59" s="364"/>
      <c r="C59" s="417" t="str">
        <f>IF(OR('1、课程目标与考核方式'!M1="N",'1、课程目标与考核方式'!M6="N",'1、课程目标与考核方式'!P6="N"),"请修改表单《1.课程目标与考核方式》中错误",IF('2、试卷（期末题目-课程目标）'!E5="N","请修改表单《2.试卷（期末题目-课程目标）》中错误",""))</f>
        <v/>
      </c>
      <c r="D59" s="418"/>
      <c r="E59" s="418"/>
      <c r="F59" s="418"/>
      <c r="G59" s="364"/>
      <c r="H59" s="364"/>
    </row>
    <row r="60" spans="1:8">
      <c r="A60" s="364"/>
      <c r="B60" s="364"/>
      <c r="C60" s="418"/>
      <c r="D60" s="418"/>
      <c r="E60" s="418"/>
      <c r="F60" s="418"/>
      <c r="G60" s="364"/>
      <c r="H60" s="364"/>
    </row>
    <row r="61" spans="1:8">
      <c r="A61" s="364"/>
      <c r="B61" s="364"/>
      <c r="C61" s="364"/>
      <c r="D61" s="364"/>
      <c r="E61" s="364"/>
      <c r="F61" s="364"/>
      <c r="G61" s="364"/>
      <c r="H61" s="364"/>
    </row>
    <row r="62" spans="1:8">
      <c r="A62" s="364"/>
      <c r="B62" s="364"/>
      <c r="C62" s="364"/>
      <c r="D62" s="364"/>
      <c r="E62" s="364"/>
      <c r="F62" s="364"/>
      <c r="G62" s="364"/>
      <c r="H62" s="364"/>
    </row>
    <row r="63" spans="1:8">
      <c r="A63" s="364"/>
      <c r="B63" s="364"/>
      <c r="C63" s="364"/>
      <c r="D63" s="364"/>
      <c r="E63" s="364"/>
      <c r="F63" s="364"/>
      <c r="G63" s="364"/>
      <c r="H63" s="364"/>
    </row>
  </sheetData>
  <sheetProtection password="DE0E" sheet="1" selectLockedCells="1" selectUnlockedCells="1" objects="1"/>
  <mergeCells count="20">
    <mergeCell ref="B4:H4"/>
    <mergeCell ref="G5:H5"/>
    <mergeCell ref="G6:H6"/>
    <mergeCell ref="G7:H7"/>
    <mergeCell ref="G8:H8"/>
    <mergeCell ref="G9:H9"/>
    <mergeCell ref="G10:H10"/>
    <mergeCell ref="G11:H11"/>
    <mergeCell ref="G12:H12"/>
    <mergeCell ref="G13:H13"/>
    <mergeCell ref="G14:H14"/>
    <mergeCell ref="G15:H15"/>
    <mergeCell ref="B17:H17"/>
    <mergeCell ref="B29:D29"/>
    <mergeCell ref="B40:C40"/>
    <mergeCell ref="B41:C41"/>
    <mergeCell ref="C59:F60"/>
    <mergeCell ref="G1:H2"/>
    <mergeCell ref="A1:F2"/>
    <mergeCell ref="B53:F57"/>
  </mergeCells>
  <pageMargins left="0.313888888888889" right="0.313888888888889" top="0.235416666666667" bottom="0.196527777777778" header="0.313888888888889" footer="0.313888888888889"/>
  <pageSetup paperSize="9" orientation="portrait"/>
  <headerFooter alignWithMargins="0"/>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7030A0"/>
  </sheetPr>
  <dimension ref="A1:AE168"/>
  <sheetViews>
    <sheetView tabSelected="1" zoomScale="90" zoomScaleNormal="90" topLeftCell="A146" workbookViewId="0">
      <selection activeCell="AC158" sqref="AC158"/>
    </sheetView>
  </sheetViews>
  <sheetFormatPr defaultColWidth="8.66666666666667" defaultRowHeight="14"/>
  <cols>
    <col min="1" max="1" width="3.75" style="250" customWidth="1"/>
    <col min="2" max="2" width="10.9666666666667" style="246" customWidth="1"/>
    <col min="3" max="6" width="8.66666666666667" style="246"/>
    <col min="7" max="7" width="8.60833333333333" style="246" customWidth="1"/>
    <col min="8" max="8" width="9.5" style="246" customWidth="1"/>
    <col min="9" max="9" width="8.25" style="246" customWidth="1"/>
    <col min="10" max="10" width="8.16666666666667" style="246" customWidth="1"/>
    <col min="11" max="11" width="15.55" style="246" hidden="1" customWidth="1"/>
    <col min="12" max="12" width="17.3583333333333" style="246" hidden="1" customWidth="1"/>
    <col min="13" max="13" width="16.8083333333333" style="246" hidden="1" customWidth="1"/>
    <col min="14" max="14" width="17.3583333333333" style="246" hidden="1" customWidth="1"/>
    <col min="15" max="26" width="8.66666666666667" style="246" hidden="1" customWidth="1"/>
    <col min="27" max="27" width="20.275" style="246" hidden="1" customWidth="1"/>
    <col min="28" max="16384" width="8.66666666666667" style="246"/>
  </cols>
  <sheetData>
    <row r="1" ht="25" hidden="1" customHeight="1" spans="1:15">
      <c r="A1" s="251"/>
      <c r="B1" s="252" t="str">
        <f>'1、课程目标与考核方式'!B1&amp;"教学大纲"</f>
        <v>虚拟现实(22版)教学大纲</v>
      </c>
      <c r="C1" s="252"/>
      <c r="D1" s="252"/>
      <c r="E1" s="252"/>
      <c r="F1" s="252"/>
      <c r="G1" s="252"/>
      <c r="H1" s="252"/>
      <c r="I1" s="252"/>
      <c r="J1" s="252"/>
      <c r="O1" s="246" t="s">
        <v>343</v>
      </c>
    </row>
    <row r="2" ht="26" hidden="1" customHeight="1" spans="1:24">
      <c r="A2" s="251"/>
      <c r="B2" s="253" t="s">
        <v>344</v>
      </c>
      <c r="C2" s="254"/>
      <c r="D2" s="255" t="str">
        <f>'1、课程目标与考核方式'!B1</f>
        <v>虚拟现实(22版)</v>
      </c>
      <c r="E2" s="255"/>
      <c r="F2" s="256" t="s">
        <v>345</v>
      </c>
      <c r="G2" s="256"/>
      <c r="H2" s="254" t="s">
        <v>346</v>
      </c>
      <c r="I2" s="289">
        <f>'1、课程目标与考核方式'!D1</f>
        <v>52080105</v>
      </c>
      <c r="J2" s="289"/>
      <c r="O2" s="246">
        <f>IF(F2&lt;&gt;"",1,0)</f>
        <v>1</v>
      </c>
      <c r="P2" s="246">
        <f>IF(NOT(D3&gt;0),0,1)</f>
        <v>1</v>
      </c>
      <c r="Q2" s="246">
        <f>IF(NOT(D4&gt;0),0,1)</f>
        <v>1</v>
      </c>
      <c r="R2" s="246">
        <f>IF(C6="",0,1)</f>
        <v>1</v>
      </c>
      <c r="S2" s="246">
        <f>IF(OR(C11="请在表单《1、课程目标与考核方式》输入课程目标",C12="请在表单《1、课程目标与考核方式》输入课程目标",C13="请在表单《1、课程目标与考核方式》输入课程目标",C14="请在表单《1、课程目标与考核方式》输入课程目标",C15="请在表单《1、课程目标与考核方式》输入课程目标",C16="请在表单《1、课程目标与考核方式》输入课程目标",C17="请在表单《1、课程目标与考核方式》输入课程目标"),0,1)</f>
        <v>1</v>
      </c>
      <c r="T2" s="246">
        <f>IF(AND(C21="",C22="",C23="",C24="",C25="",C26="",C27=""),0,1)</f>
        <v>1</v>
      </c>
      <c r="U2" s="246">
        <f>IF(OR(G47=0,G66=0),0,1)</f>
        <v>1</v>
      </c>
      <c r="V2" s="246">
        <f>IF(OR(I136="",I137="",I139=""),0,1)</f>
        <v>1</v>
      </c>
      <c r="W2" s="246">
        <f>IF(D4=(D5+F5+H5+J5),1,0)</f>
        <v>1</v>
      </c>
      <c r="X2" s="246">
        <f>IF(D28="",1,0)</f>
        <v>1</v>
      </c>
    </row>
    <row r="3" hidden="1" spans="1:15">
      <c r="A3" s="251"/>
      <c r="B3" s="257" t="s">
        <v>347</v>
      </c>
      <c r="C3" s="258"/>
      <c r="D3" s="259">
        <f>VLOOKUP($D$2,数据源1!$A$2:$V$120,18,0)</f>
        <v>3</v>
      </c>
      <c r="E3" s="260" t="str">
        <f>IF(NOT(D3&gt;0),"输入正确学分","")</f>
        <v/>
      </c>
      <c r="F3" s="258"/>
      <c r="G3" s="258"/>
      <c r="H3" s="258"/>
      <c r="I3" s="258"/>
      <c r="J3" s="257"/>
      <c r="O3" s="246" t="s">
        <v>343</v>
      </c>
    </row>
    <row r="4" hidden="1" spans="1:15">
      <c r="A4" s="251"/>
      <c r="B4" s="261" t="s">
        <v>348</v>
      </c>
      <c r="C4" s="261"/>
      <c r="D4" s="259">
        <f>VLOOKUP($D$2,数据源1!$A$2:$V$120,19,0)</f>
        <v>48</v>
      </c>
      <c r="E4" s="260" t="str">
        <f>IF(NOT(D4&gt;0),"输入正确学时","")</f>
        <v/>
      </c>
      <c r="F4" s="258"/>
      <c r="G4" s="258"/>
      <c r="H4" s="258"/>
      <c r="I4" s="290" t="str">
        <f>IF(D4=(D5+F5+H5+J5),"","学时分配及总学时不符")</f>
        <v/>
      </c>
      <c r="J4" s="290"/>
      <c r="O4" s="246">
        <f>IF(AND(O2=1,P2=1,Q2=1,R2=1,S2=1,T2=1,U2=1,V2=1,W2=1,X2=1),1,0)</f>
        <v>1</v>
      </c>
    </row>
    <row r="5" hidden="1" spans="1:10">
      <c r="A5" s="251"/>
      <c r="B5" s="257" t="s">
        <v>349</v>
      </c>
      <c r="C5" s="261" t="s">
        <v>350</v>
      </c>
      <c r="D5" s="259">
        <f>VLOOKUP($D$2,数据源1!$A$2:$V$120,20,0)</f>
        <v>32</v>
      </c>
      <c r="E5" s="257" t="s">
        <v>351</v>
      </c>
      <c r="F5" s="259">
        <f>VLOOKUP($D$2,数据源1!$A$2:$V$120,21,0)</f>
        <v>0</v>
      </c>
      <c r="G5" s="257" t="s">
        <v>352</v>
      </c>
      <c r="H5" s="259">
        <f>VLOOKUP($D$2,数据源1!$A$2:$V$120,22,0)</f>
        <v>16</v>
      </c>
      <c r="I5" s="258" t="s">
        <v>353</v>
      </c>
      <c r="J5" s="259"/>
    </row>
    <row r="6" hidden="1" spans="1:10">
      <c r="A6" s="251"/>
      <c r="B6" s="257" t="s">
        <v>354</v>
      </c>
      <c r="C6" s="262" t="s">
        <v>355</v>
      </c>
      <c r="D6" s="262"/>
      <c r="E6" s="260" t="str">
        <f>IF(C6="","输入负责人","")</f>
        <v/>
      </c>
      <c r="F6" s="258"/>
      <c r="G6" s="257"/>
      <c r="H6" s="258"/>
      <c r="I6" s="258"/>
      <c r="J6" s="258"/>
    </row>
    <row r="7" ht="16.5" hidden="1" spans="1:10">
      <c r="A7" s="251"/>
      <c r="B7" s="263" t="s">
        <v>356</v>
      </c>
      <c r="C7" s="263"/>
      <c r="D7" s="264" t="str">
        <f>IF(OR('1、课程目标与考核方式'!C13="清空此列内容",'1、课程目标与考核方式'!D13="清空此列内容",'1、课程目标与考核方式'!E13="清空此列内容",'1、课程目标与考核方式'!F13="清空此列内容",'1、课程目标与考核方式'!G13="清空此列内容"),"修改表单1错误","")</f>
        <v/>
      </c>
      <c r="E7" s="264"/>
      <c r="F7" s="264"/>
      <c r="G7" s="264"/>
      <c r="H7" s="264"/>
      <c r="I7" s="264"/>
      <c r="J7" s="264"/>
    </row>
    <row r="8" hidden="1" spans="1:10">
      <c r="A8" s="251"/>
      <c r="B8" s="265" t="s">
        <v>357</v>
      </c>
      <c r="C8" s="265"/>
      <c r="D8" s="265"/>
      <c r="E8" s="265"/>
      <c r="F8" s="265"/>
      <c r="G8" s="265"/>
      <c r="H8" s="265"/>
      <c r="I8" s="265"/>
      <c r="J8" s="265"/>
    </row>
    <row r="9" ht="116" hidden="1" customHeight="1" spans="1:10">
      <c r="A9" s="251"/>
      <c r="B9" s="266" t="s">
        <v>358</v>
      </c>
      <c r="C9" s="266"/>
      <c r="D9" s="266"/>
      <c r="E9" s="266"/>
      <c r="F9" s="266"/>
      <c r="G9" s="266"/>
      <c r="H9" s="266"/>
      <c r="I9" s="266"/>
      <c r="J9" s="266"/>
    </row>
    <row r="10" hidden="1" spans="1:10">
      <c r="A10" s="251"/>
      <c r="B10" s="265" t="s">
        <v>359</v>
      </c>
      <c r="C10" s="265"/>
      <c r="D10" s="265"/>
      <c r="E10" s="265"/>
      <c r="F10" s="265"/>
      <c r="G10" s="265"/>
      <c r="H10" s="265"/>
      <c r="I10" s="265"/>
      <c r="J10" s="265"/>
    </row>
    <row r="11" ht="30" hidden="1" customHeight="1" spans="1:10">
      <c r="A11" s="251"/>
      <c r="B11" s="267" t="str">
        <f>IF('1、课程目标与考核方式'!A3&lt;&gt;"",'1、课程目标与考核方式'!A3&amp;":","")</f>
        <v>课程目标1:</v>
      </c>
      <c r="C11" s="268">
        <f>IF(B11="","",IF('1、课程目标与考核方式'!X3="","请在表单《1、课程目标与考核方式》输入课程目标",'1、课程目标与考核方式'!X3))</f>
        <v>222</v>
      </c>
      <c r="D11" s="268"/>
      <c r="E11" s="268"/>
      <c r="F11" s="268"/>
      <c r="G11" s="268"/>
      <c r="H11" s="268"/>
      <c r="I11" s="268"/>
      <c r="J11" s="268"/>
    </row>
    <row r="12" ht="30" hidden="1" customHeight="1" spans="1:10">
      <c r="A12" s="251"/>
      <c r="B12" s="267" t="str">
        <f>IF('1、课程目标与考核方式'!A4&lt;&gt;"",'1、课程目标与考核方式'!A4&amp;":","")</f>
        <v>课程目标2:</v>
      </c>
      <c r="C12" s="268" t="str">
        <f>IF(B12="","",IF('1、课程目标与考核方式'!X4="","请在表单《1、课程目标与考核方式》输入课程目标",'1、课程目标与考核方式'!X4))</f>
        <v>请输入跟毕业要求相适应的课程目标，突出学生能力。示例 ：能够.....</v>
      </c>
      <c r="D12" s="268"/>
      <c r="E12" s="268"/>
      <c r="F12" s="268"/>
      <c r="G12" s="268"/>
      <c r="H12" s="268"/>
      <c r="I12" s="268"/>
      <c r="J12" s="268"/>
    </row>
    <row r="13" ht="30" hidden="1" customHeight="1" spans="1:10">
      <c r="A13" s="251"/>
      <c r="B13" s="267" t="str">
        <f>IF('1、课程目标与考核方式'!A5&lt;&gt;"",'1、课程目标与考核方式'!A5&amp;":","")</f>
        <v>课程目标3:</v>
      </c>
      <c r="C13" s="268" t="str">
        <f>IF(B13="","",IF('1、课程目标与考核方式'!X5="","请在表单《1、课程目标与考核方式》输入课程目标",'1、课程目标与考核方式'!X5))</f>
        <v>请输入跟毕业要求相适应的课程目标，突出学生能力。示例 ：能够.....</v>
      </c>
      <c r="D13" s="268"/>
      <c r="E13" s="268"/>
      <c r="F13" s="268"/>
      <c r="G13" s="268"/>
      <c r="H13" s="268"/>
      <c r="I13" s="268"/>
      <c r="J13" s="268"/>
    </row>
    <row r="14" ht="30" hidden="1" customHeight="1" spans="1:10">
      <c r="A14" s="251"/>
      <c r="B14" s="267" t="str">
        <f>IF('1、课程目标与考核方式'!A6&lt;&gt;"",'1、课程目标与考核方式'!A6&amp;":","")</f>
        <v/>
      </c>
      <c r="C14" s="268" t="str">
        <f>IF(B14="","",IF('1、课程目标与考核方式'!X6="","请在表单《1、课程目标与考核方式》输入课程目标",'1、课程目标与考核方式'!X6))</f>
        <v/>
      </c>
      <c r="D14" s="268"/>
      <c r="E14" s="268"/>
      <c r="F14" s="268"/>
      <c r="G14" s="268"/>
      <c r="H14" s="268"/>
      <c r="I14" s="268"/>
      <c r="J14" s="268"/>
    </row>
    <row r="15" ht="30" hidden="1" customHeight="1" spans="1:10">
      <c r="A15" s="251"/>
      <c r="B15" s="267" t="str">
        <f>IF('1、课程目标与考核方式'!A7&lt;&gt;"",'1、课程目标与考核方式'!A7&amp;":","")</f>
        <v/>
      </c>
      <c r="C15" s="269" t="str">
        <f>IF(B15="","",IF('1、课程目标与考核方式'!X7="","请在表单《1、课程目标与考核方式》输入课程目标",'1、课程目标与考核方式'!X7))</f>
        <v/>
      </c>
      <c r="D15" s="269"/>
      <c r="E15" s="269"/>
      <c r="F15" s="269"/>
      <c r="G15" s="269"/>
      <c r="H15" s="269"/>
      <c r="I15" s="269"/>
      <c r="J15" s="269"/>
    </row>
    <row r="16" ht="30" hidden="1" customHeight="1" spans="1:10">
      <c r="A16" s="251"/>
      <c r="B16" s="267" t="str">
        <f>IF('1、课程目标与考核方式'!A8&lt;&gt;"",'1、课程目标与考核方式'!A8&amp;":","")</f>
        <v/>
      </c>
      <c r="C16" s="269" t="str">
        <f>IF(B16="","",IF('1、课程目标与考核方式'!X8="","请在表单《1、课程目标与考核方式》输入课程目标",'1、课程目标与考核方式'!X8))</f>
        <v/>
      </c>
      <c r="D16" s="269"/>
      <c r="E16" s="269"/>
      <c r="F16" s="269"/>
      <c r="G16" s="269"/>
      <c r="H16" s="269"/>
      <c r="I16" s="269"/>
      <c r="J16" s="269"/>
    </row>
    <row r="17" ht="30" hidden="1" customHeight="1" spans="1:10">
      <c r="A17" s="251"/>
      <c r="B17" s="267" t="str">
        <f>IF('1、课程目标与考核方式'!A9&lt;&gt;"",'1、课程目标与考核方式'!A9&amp;":","")</f>
        <v/>
      </c>
      <c r="C17" s="269" t="str">
        <f>IF(B17="","",IF('1、课程目标与考核方式'!X9="","请在表单《1、课程目标与考核方式》输入课程目标",'1、课程目标与考核方式'!X9))</f>
        <v/>
      </c>
      <c r="D17" s="269"/>
      <c r="E17" s="269"/>
      <c r="F17" s="269"/>
      <c r="G17" s="269"/>
      <c r="H17" s="269"/>
      <c r="I17" s="269"/>
      <c r="J17" s="269"/>
    </row>
    <row r="18" hidden="1" spans="1:10">
      <c r="A18" s="251"/>
      <c r="B18" s="265" t="s">
        <v>360</v>
      </c>
      <c r="C18" s="265"/>
      <c r="D18" s="265"/>
      <c r="E18" s="265"/>
      <c r="F18" s="265"/>
      <c r="G18" s="265"/>
      <c r="H18" s="265"/>
      <c r="I18" s="265"/>
      <c r="J18" s="265"/>
    </row>
    <row r="19" hidden="1" spans="1:10">
      <c r="A19" s="251"/>
      <c r="B19" s="270"/>
      <c r="C19" s="271" t="s">
        <v>361</v>
      </c>
      <c r="D19" s="271"/>
      <c r="E19" s="271"/>
      <c r="F19" s="271"/>
      <c r="G19" s="271"/>
      <c r="H19" s="271"/>
      <c r="I19" s="271"/>
      <c r="J19" s="271"/>
    </row>
    <row r="20" hidden="1" spans="1:10">
      <c r="A20" s="251"/>
      <c r="B20" s="272"/>
      <c r="C20" s="271">
        <f>'1、课程目标与考核方式'!M3</f>
        <v>2.3</v>
      </c>
      <c r="D20" s="271">
        <f>'1、课程目标与考核方式'!N3</f>
        <v>3.4</v>
      </c>
      <c r="E20" s="271">
        <f>'1、课程目标与考核方式'!O3</f>
        <v>5.3</v>
      </c>
      <c r="F20" s="271" t="str">
        <f>'1、课程目标与考核方式'!P3</f>
        <v/>
      </c>
      <c r="G20" s="271" t="str">
        <f>'1、课程目标与考核方式'!Q3</f>
        <v/>
      </c>
      <c r="H20" s="271" t="str">
        <f>'1、课程目标与考核方式'!R3</f>
        <v/>
      </c>
      <c r="I20" s="271" t="str">
        <f>'1、课程目标与考核方式'!S3</f>
        <v/>
      </c>
      <c r="J20" s="271"/>
    </row>
    <row r="21" hidden="1" spans="2:10">
      <c r="B21" s="273" t="str">
        <f>B11</f>
        <v>课程目标1:</v>
      </c>
      <c r="C21" s="274" t="str">
        <f>IF(AND($C$20&lt;&gt;"",B21&lt;&gt;""),IF($C$20='1、课程目标与考核方式'!B3,"√",""),"")</f>
        <v>√</v>
      </c>
      <c r="D21" s="274" t="str">
        <f>IF(AND($D$20&lt;&gt;"",B21&lt;&gt;""),IF($D$20='1、课程目标与考核方式'!B3,"√",""),"")</f>
        <v/>
      </c>
      <c r="E21" s="274" t="str">
        <f>IF(AND(E$20&lt;&gt;"",$B21&lt;&gt;""),IF(E$20='1、课程目标与考核方式'!$B3,"√",""),"")</f>
        <v/>
      </c>
      <c r="F21" s="274" t="str">
        <f>IF(AND(F$20&lt;&gt;"",$B21&lt;&gt;""),IF(F$20='1、课程目标与考核方式'!$B3,"√",""),"")</f>
        <v/>
      </c>
      <c r="G21" s="274" t="str">
        <f>IF(AND(G$20&lt;&gt;"",$B21&lt;&gt;""),IF(G$20='1、课程目标与考核方式'!$B3,"√",""),"")</f>
        <v/>
      </c>
      <c r="H21" s="274" t="str">
        <f>IF(AND(H$20&lt;&gt;"",$B21&lt;&gt;""),IF(H$20='1、课程目标与考核方式'!$B3,"√",""),"")</f>
        <v/>
      </c>
      <c r="I21" s="274" t="str">
        <f>IF(AND(I$20&lt;&gt;"",$B21&lt;&gt;""),IF(I$20='1、课程目标与考核方式'!$B3,"√",""),"")</f>
        <v/>
      </c>
      <c r="J21" s="274"/>
    </row>
    <row r="22" hidden="1" spans="2:10">
      <c r="B22" s="273" t="str">
        <f t="shared" ref="B22:B27" si="0">B12</f>
        <v>课程目标2:</v>
      </c>
      <c r="C22" s="274" t="str">
        <f>IF(AND($C$20&lt;&gt;"",B22&lt;&gt;""),IF($C$20='1、课程目标与考核方式'!B4,"√",""),"")</f>
        <v/>
      </c>
      <c r="D22" s="274" t="str">
        <f>IF(AND($D$20&lt;&gt;"",B22&lt;&gt;""),IF($D$20='1、课程目标与考核方式'!B4,"√",""),"")</f>
        <v>√</v>
      </c>
      <c r="E22" s="274" t="str">
        <f>IF(AND(E$20&lt;&gt;"",$B22&lt;&gt;""),IF(E$20='1、课程目标与考核方式'!$B4,"√",""),"")</f>
        <v/>
      </c>
      <c r="F22" s="274" t="str">
        <f>IF(AND(F$20&lt;&gt;"",$B22&lt;&gt;""),IF(F$20='1、课程目标与考核方式'!$B4,"√",""),"")</f>
        <v/>
      </c>
      <c r="G22" s="274" t="str">
        <f>IF(AND(G$20&lt;&gt;"",$B22&lt;&gt;""),IF(G$20='1、课程目标与考核方式'!$B4,"√",""),"")</f>
        <v/>
      </c>
      <c r="H22" s="274" t="str">
        <f>IF(AND(H$20&lt;&gt;"",$B22&lt;&gt;""),IF(H$20='1、课程目标与考核方式'!$B4,"√",""),"")</f>
        <v/>
      </c>
      <c r="I22" s="274" t="str">
        <f>IF(AND(I$20&lt;&gt;"",$B22&lt;&gt;""),IF(I$20='1、课程目标与考核方式'!$B4,"√",""),"")</f>
        <v/>
      </c>
      <c r="J22" s="274"/>
    </row>
    <row r="23" hidden="1" spans="2:10">
      <c r="B23" s="273" t="str">
        <f t="shared" si="0"/>
        <v>课程目标3:</v>
      </c>
      <c r="C23" s="274" t="str">
        <f>IF(AND($C$20&lt;&gt;"",B23&lt;&gt;""),IF($C$20='1、课程目标与考核方式'!B5,"√",""),"")</f>
        <v/>
      </c>
      <c r="D23" s="274" t="str">
        <f>IF(AND($D$20&lt;&gt;"",B23&lt;&gt;""),IF($D$20='1、课程目标与考核方式'!B5,"√",""),"")</f>
        <v/>
      </c>
      <c r="E23" s="274" t="str">
        <f>IF(AND(E$20&lt;&gt;"",$B23&lt;&gt;""),IF(E$20='1、课程目标与考核方式'!$B5,"√",""),"")</f>
        <v>√</v>
      </c>
      <c r="F23" s="274" t="str">
        <f>IF(AND(F$20&lt;&gt;"",$B23&lt;&gt;""),IF(F$20='1、课程目标与考核方式'!$B5,"√",""),"")</f>
        <v/>
      </c>
      <c r="G23" s="274" t="str">
        <f>IF(AND(G$20&lt;&gt;"",$B23&lt;&gt;""),IF(G$20='1、课程目标与考核方式'!$B5,"√",""),"")</f>
        <v/>
      </c>
      <c r="H23" s="274" t="str">
        <f>IF(AND(H$20&lt;&gt;"",$B23&lt;&gt;""),IF(H$20='1、课程目标与考核方式'!$B5,"√",""),"")</f>
        <v/>
      </c>
      <c r="I23" s="274" t="str">
        <f>IF(AND(I$20&lt;&gt;"",$B23&lt;&gt;""),IF(I$20='1、课程目标与考核方式'!$B5,"√",""),"")</f>
        <v/>
      </c>
      <c r="J23" s="274"/>
    </row>
    <row r="24" hidden="1" spans="2:10">
      <c r="B24" s="273" t="str">
        <f t="shared" si="0"/>
        <v/>
      </c>
      <c r="C24" s="274" t="str">
        <f>IF(AND($C$20&lt;&gt;"",B24&lt;&gt;""),IF($C$20='1、课程目标与考核方式'!B6,"√",""),"")</f>
        <v/>
      </c>
      <c r="D24" s="274" t="str">
        <f>IF(AND($D$20&lt;&gt;"",B24&lt;&gt;""),IF($D$20='1、课程目标与考核方式'!B6,"√",""),"")</f>
        <v/>
      </c>
      <c r="E24" s="274" t="str">
        <f>IF(AND(E$20&lt;&gt;"",$B24&lt;&gt;""),IF(E$20='1、课程目标与考核方式'!$B6,"√",""),"")</f>
        <v/>
      </c>
      <c r="F24" s="274" t="str">
        <f>IF(AND(F$20&lt;&gt;"",$B24&lt;&gt;""),IF(F$20='1、课程目标与考核方式'!$B6,"√",""),"")</f>
        <v/>
      </c>
      <c r="G24" s="274" t="str">
        <f>IF(AND(G$20&lt;&gt;"",$B24&lt;&gt;""),IF(G$20='1、课程目标与考核方式'!$B6,"√",""),"")</f>
        <v/>
      </c>
      <c r="H24" s="274" t="str">
        <f>IF(AND(H$20&lt;&gt;"",$B24&lt;&gt;""),IF(H$20='1、课程目标与考核方式'!$B6,"√",""),"")</f>
        <v/>
      </c>
      <c r="I24" s="274" t="str">
        <f>IF(AND(I$20&lt;&gt;"",$B24&lt;&gt;""),IF(I$20='1、课程目标与考核方式'!$B6,"√",""),"")</f>
        <v/>
      </c>
      <c r="J24" s="274"/>
    </row>
    <row r="25" hidden="1" spans="2:10">
      <c r="B25" s="273" t="str">
        <f t="shared" si="0"/>
        <v/>
      </c>
      <c r="C25" s="274" t="str">
        <f>IF(AND($C$20&lt;&gt;"",B25&lt;&gt;""),IF($C$20='1、课程目标与考核方式'!B7,"√",""),"")</f>
        <v/>
      </c>
      <c r="D25" s="274" t="str">
        <f>IF(AND($D$20&lt;&gt;"",B25&lt;&gt;""),IF($D$20='1、课程目标与考核方式'!B7,"√",""),"")</f>
        <v/>
      </c>
      <c r="E25" s="274" t="str">
        <f>IF(AND(E$20&lt;&gt;"",$B25&lt;&gt;""),IF(E$20='1、课程目标与考核方式'!$B7,"√",""),"")</f>
        <v/>
      </c>
      <c r="F25" s="274" t="str">
        <f>IF(AND(F$20&lt;&gt;"",$B25&lt;&gt;""),IF(F$20='1、课程目标与考核方式'!$B7,"√",""),"")</f>
        <v/>
      </c>
      <c r="G25" s="274" t="str">
        <f>IF(AND(G$20&lt;&gt;"",$B25&lt;&gt;""),IF(G$20='1、课程目标与考核方式'!$B7,"√",""),"")</f>
        <v/>
      </c>
      <c r="H25" s="274" t="str">
        <f>IF(AND(H$20&lt;&gt;"",$B25&lt;&gt;""),IF(H$20='1、课程目标与考核方式'!$B7,"√",""),"")</f>
        <v/>
      </c>
      <c r="I25" s="274" t="str">
        <f>IF(AND(I$20&lt;&gt;"",$B25&lt;&gt;""),IF(I$20='1、课程目标与考核方式'!$B7,"√",""),"")</f>
        <v/>
      </c>
      <c r="J25" s="274"/>
    </row>
    <row r="26" hidden="1" spans="2:10">
      <c r="B26" s="273" t="str">
        <f t="shared" si="0"/>
        <v/>
      </c>
      <c r="C26" s="274" t="str">
        <f>IF(AND($C$20&lt;&gt;"",B26&lt;&gt;""),IF($C$20='1、课程目标与考核方式'!B8,"√",""),"")</f>
        <v/>
      </c>
      <c r="D26" s="274" t="str">
        <f>IF(AND($D$20&lt;&gt;"",B26&lt;&gt;""),IF($D$20='1、课程目标与考核方式'!B8,"√",""),"")</f>
        <v/>
      </c>
      <c r="E26" s="274" t="str">
        <f>IF(AND(E$20&lt;&gt;"",$B26&lt;&gt;""),IF(E$20='1、课程目标与考核方式'!$B8,"√",""),"")</f>
        <v/>
      </c>
      <c r="F26" s="274" t="str">
        <f>IF(AND(F$20&lt;&gt;"",$B26&lt;&gt;""),IF(F$20='1、课程目标与考核方式'!$B8,"√",""),"")</f>
        <v/>
      </c>
      <c r="G26" s="274" t="str">
        <f>IF(AND(G$20&lt;&gt;"",$B26&lt;&gt;""),IF(G$20='1、课程目标与考核方式'!$B8,"√",""),"")</f>
        <v/>
      </c>
      <c r="H26" s="274" t="str">
        <f>IF(AND(H$20&lt;&gt;"",$B26&lt;&gt;""),IF(H$20='1、课程目标与考核方式'!$B8,"√",""),"")</f>
        <v/>
      </c>
      <c r="I26" s="274" t="str">
        <f>IF(AND(I$20&lt;&gt;"",$B26&lt;&gt;""),IF(I$20='1、课程目标与考核方式'!$B8,"√",""),"")</f>
        <v/>
      </c>
      <c r="J26" s="274"/>
    </row>
    <row r="27" hidden="1" spans="2:10">
      <c r="B27" s="273" t="str">
        <f t="shared" si="0"/>
        <v/>
      </c>
      <c r="C27" s="274" t="str">
        <f>IF(AND($C$20&lt;&gt;"",B27&lt;&gt;""),IF($C$20='1、课程目标与考核方式'!B9,"√",""),"")</f>
        <v/>
      </c>
      <c r="D27" s="274" t="str">
        <f>IF(AND($D$20&lt;&gt;"",B27&lt;&gt;""),IF($D$20='1、课程目标与考核方式'!B9,"√",""),"")</f>
        <v/>
      </c>
      <c r="E27" s="274" t="str">
        <f>IF(AND(E$20&lt;&gt;"",$B27&lt;&gt;""),IF(E$20='1、课程目标与考核方式'!$B9,"√",""),"")</f>
        <v/>
      </c>
      <c r="F27" s="274" t="str">
        <f>IF(AND(F$20&lt;&gt;"",$B27&lt;&gt;""),IF(F$20='1、课程目标与考核方式'!$B9,"√",""),"")</f>
        <v/>
      </c>
      <c r="G27" s="274" t="str">
        <f>IF(AND(G$20&lt;&gt;"",$B27&lt;&gt;""),IF(G$20='1、课程目标与考核方式'!$B9,"√",""),"")</f>
        <v/>
      </c>
      <c r="H27" s="274" t="str">
        <f>IF(AND(H$20&lt;&gt;"",$B27&lt;&gt;""),IF(H$20='1、课程目标与考核方式'!$B9,"√",""),"")</f>
        <v/>
      </c>
      <c r="I27" s="274" t="str">
        <f>IF(AND(I$20&lt;&gt;"",$B27&lt;&gt;""),IF(I$20='1、课程目标与考核方式'!$B9,"√",""),"")</f>
        <v/>
      </c>
      <c r="J27" s="274"/>
    </row>
    <row r="28" ht="16.5" hidden="1" spans="2:10">
      <c r="B28" s="263" t="s">
        <v>362</v>
      </c>
      <c r="C28" s="263"/>
      <c r="D28" s="264" t="str">
        <f>IF(D4=(G47+G66),"","教学内容课时与总学时不符，总学时"&amp;D4&amp;"学分")</f>
        <v/>
      </c>
      <c r="E28" s="264"/>
      <c r="F28" s="264"/>
      <c r="G28" s="264"/>
      <c r="H28" s="264"/>
      <c r="I28" s="264"/>
      <c r="J28" s="264"/>
    </row>
    <row r="29" hidden="1" spans="2:10">
      <c r="B29" s="275" t="s">
        <v>363</v>
      </c>
      <c r="C29" s="276"/>
      <c r="D29" s="275" t="s">
        <v>364</v>
      </c>
      <c r="E29" s="277"/>
      <c r="F29" s="276"/>
      <c r="G29" s="278" t="str">
        <f>"学时/"&amp;D5+J5</f>
        <v>学时/32</v>
      </c>
      <c r="H29" s="279" t="s">
        <v>39</v>
      </c>
      <c r="I29" s="278" t="s">
        <v>365</v>
      </c>
      <c r="J29" s="278" t="s">
        <v>6</v>
      </c>
    </row>
    <row r="30" s="246" customFormat="1" hidden="1" spans="1:10">
      <c r="A30" s="250"/>
      <c r="B30" s="280" t="s">
        <v>366</v>
      </c>
      <c r="C30" s="281"/>
      <c r="D30" s="280" t="s">
        <v>367</v>
      </c>
      <c r="E30" s="282"/>
      <c r="F30" s="281"/>
      <c r="G30" s="283">
        <v>32</v>
      </c>
      <c r="H30" s="283" t="s">
        <v>368</v>
      </c>
      <c r="I30" s="283" t="s">
        <v>369</v>
      </c>
      <c r="J30" s="283"/>
    </row>
    <row r="31" s="246" customFormat="1" hidden="1" spans="1:10">
      <c r="A31" s="250"/>
      <c r="B31" s="280"/>
      <c r="C31" s="281"/>
      <c r="D31" s="280"/>
      <c r="E31" s="282"/>
      <c r="F31" s="281"/>
      <c r="G31" s="283"/>
      <c r="H31" s="283"/>
      <c r="I31" s="283"/>
      <c r="J31" s="283"/>
    </row>
    <row r="32" s="246" customFormat="1" hidden="1" spans="1:10">
      <c r="A32" s="250"/>
      <c r="B32" s="280"/>
      <c r="C32" s="281"/>
      <c r="D32" s="280"/>
      <c r="E32" s="282"/>
      <c r="F32" s="281"/>
      <c r="G32" s="283"/>
      <c r="H32" s="283"/>
      <c r="I32" s="283"/>
      <c r="J32" s="283"/>
    </row>
    <row r="33" s="246" customFormat="1" hidden="1" spans="1:10">
      <c r="A33" s="250"/>
      <c r="B33" s="280"/>
      <c r="C33" s="281"/>
      <c r="D33" s="280"/>
      <c r="E33" s="282"/>
      <c r="F33" s="281"/>
      <c r="G33" s="283"/>
      <c r="H33" s="283"/>
      <c r="I33" s="283"/>
      <c r="J33" s="283"/>
    </row>
    <row r="34" s="246" customFormat="1" hidden="1" spans="1:10">
      <c r="A34" s="250"/>
      <c r="B34" s="280"/>
      <c r="C34" s="281"/>
      <c r="D34" s="280"/>
      <c r="E34" s="282"/>
      <c r="F34" s="281"/>
      <c r="G34" s="283"/>
      <c r="H34" s="283"/>
      <c r="I34" s="283"/>
      <c r="J34" s="283"/>
    </row>
    <row r="35" s="246" customFormat="1" hidden="1" spans="1:10">
      <c r="A35" s="250"/>
      <c r="B35" s="280"/>
      <c r="C35" s="281"/>
      <c r="D35" s="280"/>
      <c r="E35" s="282"/>
      <c r="F35" s="281"/>
      <c r="G35" s="283"/>
      <c r="H35" s="283"/>
      <c r="I35" s="283"/>
      <c r="J35" s="283"/>
    </row>
    <row r="36" s="246" customFormat="1" hidden="1" spans="1:10">
      <c r="A36" s="250"/>
      <c r="B36" s="280"/>
      <c r="C36" s="281"/>
      <c r="D36" s="280"/>
      <c r="E36" s="282"/>
      <c r="F36" s="281"/>
      <c r="G36" s="283"/>
      <c r="H36" s="283"/>
      <c r="I36" s="283"/>
      <c r="J36" s="283"/>
    </row>
    <row r="37" s="246" customFormat="1" hidden="1" spans="1:10">
      <c r="A37" s="250"/>
      <c r="B37" s="280"/>
      <c r="C37" s="281"/>
      <c r="D37" s="280"/>
      <c r="E37" s="282"/>
      <c r="F37" s="281"/>
      <c r="G37" s="283"/>
      <c r="H37" s="283"/>
      <c r="I37" s="283"/>
      <c r="J37" s="283"/>
    </row>
    <row r="38" s="246" customFormat="1" hidden="1" spans="1:10">
      <c r="A38" s="250"/>
      <c r="B38" s="280"/>
      <c r="C38" s="281"/>
      <c r="D38" s="280"/>
      <c r="E38" s="282"/>
      <c r="F38" s="281"/>
      <c r="G38" s="283"/>
      <c r="H38" s="283"/>
      <c r="I38" s="283"/>
      <c r="J38" s="283"/>
    </row>
    <row r="39" s="246" customFormat="1" hidden="1" spans="1:10">
      <c r="A39" s="250"/>
      <c r="B39" s="280"/>
      <c r="C39" s="281"/>
      <c r="D39" s="280"/>
      <c r="E39" s="282"/>
      <c r="F39" s="281"/>
      <c r="G39" s="283"/>
      <c r="H39" s="283"/>
      <c r="I39" s="283"/>
      <c r="J39" s="283"/>
    </row>
    <row r="40" s="246" customFormat="1" hidden="1" spans="1:10">
      <c r="A40" s="250"/>
      <c r="B40" s="280"/>
      <c r="C40" s="281"/>
      <c r="D40" s="280"/>
      <c r="E40" s="282"/>
      <c r="F40" s="281"/>
      <c r="G40" s="283"/>
      <c r="H40" s="283"/>
      <c r="I40" s="283"/>
      <c r="J40" s="283"/>
    </row>
    <row r="41" s="246" customFormat="1" hidden="1" spans="1:10">
      <c r="A41" s="250"/>
      <c r="B41" s="280"/>
      <c r="C41" s="281"/>
      <c r="D41" s="280"/>
      <c r="E41" s="282"/>
      <c r="F41" s="281"/>
      <c r="G41" s="283"/>
      <c r="H41" s="283"/>
      <c r="I41" s="283"/>
      <c r="J41" s="283"/>
    </row>
    <row r="42" s="246" customFormat="1" hidden="1" spans="1:10">
      <c r="A42" s="250"/>
      <c r="B42" s="280"/>
      <c r="C42" s="281"/>
      <c r="D42" s="280"/>
      <c r="E42" s="282"/>
      <c r="F42" s="281"/>
      <c r="G42" s="283"/>
      <c r="H42" s="283"/>
      <c r="I42" s="283"/>
      <c r="J42" s="283"/>
    </row>
    <row r="43" s="246" customFormat="1" hidden="1" spans="1:10">
      <c r="A43" s="250"/>
      <c r="B43" s="280"/>
      <c r="C43" s="281"/>
      <c r="D43" s="280"/>
      <c r="E43" s="282"/>
      <c r="F43" s="281"/>
      <c r="G43" s="283"/>
      <c r="H43" s="283"/>
      <c r="I43" s="283"/>
      <c r="J43" s="283"/>
    </row>
    <row r="44" s="246" customFormat="1" hidden="1" spans="1:10">
      <c r="A44" s="250"/>
      <c r="B44" s="280"/>
      <c r="C44" s="281"/>
      <c r="D44" s="280"/>
      <c r="E44" s="282"/>
      <c r="F44" s="281"/>
      <c r="G44" s="283"/>
      <c r="H44" s="283"/>
      <c r="I44" s="283"/>
      <c r="J44" s="283"/>
    </row>
    <row r="45" s="246" customFormat="1" hidden="1" spans="1:10">
      <c r="A45" s="250"/>
      <c r="B45" s="280"/>
      <c r="C45" s="281"/>
      <c r="D45" s="280"/>
      <c r="E45" s="282"/>
      <c r="F45" s="281"/>
      <c r="G45" s="283"/>
      <c r="H45" s="283"/>
      <c r="I45" s="283"/>
      <c r="J45" s="283"/>
    </row>
    <row r="46" s="246" customFormat="1" hidden="1" spans="1:10">
      <c r="A46" s="250"/>
      <c r="B46" s="280"/>
      <c r="C46" s="281"/>
      <c r="D46" s="280"/>
      <c r="E46" s="282"/>
      <c r="F46" s="281"/>
      <c r="G46" s="283"/>
      <c r="H46" s="283"/>
      <c r="I46" s="283"/>
      <c r="J46" s="283"/>
    </row>
    <row r="47" s="246" customFormat="1" hidden="1" spans="1:10">
      <c r="A47" s="250"/>
      <c r="B47" s="284" t="s">
        <v>50</v>
      </c>
      <c r="C47" s="285"/>
      <c r="D47" s="284"/>
      <c r="E47" s="286"/>
      <c r="F47" s="285"/>
      <c r="G47" s="287">
        <f>SUM(G30:G46)</f>
        <v>32</v>
      </c>
      <c r="H47" s="287"/>
      <c r="I47" s="287"/>
      <c r="J47" s="287"/>
    </row>
    <row r="48" hidden="1" spans="2:10">
      <c r="B48" s="275" t="s">
        <v>370</v>
      </c>
      <c r="C48" s="276"/>
      <c r="D48" s="275" t="s">
        <v>364</v>
      </c>
      <c r="E48" s="277"/>
      <c r="F48" s="276"/>
      <c r="G48" s="278" t="str">
        <f>"学时/"&amp;F5+H5</f>
        <v>学时/16</v>
      </c>
      <c r="H48" s="279" t="s">
        <v>39</v>
      </c>
      <c r="I48" s="278" t="s">
        <v>365</v>
      </c>
      <c r="J48" s="278" t="s">
        <v>6</v>
      </c>
    </row>
    <row r="49" s="246" customFormat="1" hidden="1" spans="1:10">
      <c r="A49" s="250"/>
      <c r="B49" s="280" t="s">
        <v>371</v>
      </c>
      <c r="C49" s="281"/>
      <c r="D49" s="288" t="s">
        <v>367</v>
      </c>
      <c r="E49" s="282"/>
      <c r="F49" s="281"/>
      <c r="G49" s="283">
        <v>16</v>
      </c>
      <c r="H49" s="283" t="s">
        <v>368</v>
      </c>
      <c r="I49" s="283" t="s">
        <v>372</v>
      </c>
      <c r="J49" s="283"/>
    </row>
    <row r="50" s="246" customFormat="1" hidden="1" spans="1:10">
      <c r="A50" s="250"/>
      <c r="B50" s="280"/>
      <c r="C50" s="281"/>
      <c r="D50" s="288"/>
      <c r="E50" s="282"/>
      <c r="F50" s="281"/>
      <c r="G50" s="283"/>
      <c r="H50" s="283"/>
      <c r="I50" s="283"/>
      <c r="J50" s="283"/>
    </row>
    <row r="51" s="246" customFormat="1" hidden="1" spans="1:10">
      <c r="A51" s="250"/>
      <c r="B51" s="280"/>
      <c r="C51" s="281"/>
      <c r="D51" s="288"/>
      <c r="E51" s="282"/>
      <c r="F51" s="281"/>
      <c r="G51" s="283"/>
      <c r="H51" s="283"/>
      <c r="I51" s="283"/>
      <c r="J51" s="283"/>
    </row>
    <row r="52" s="246" customFormat="1" hidden="1" spans="1:10">
      <c r="A52" s="250"/>
      <c r="B52" s="280"/>
      <c r="C52" s="281"/>
      <c r="D52" s="288"/>
      <c r="E52" s="282"/>
      <c r="F52" s="281"/>
      <c r="G52" s="283"/>
      <c r="H52" s="283"/>
      <c r="I52" s="283"/>
      <c r="J52" s="283"/>
    </row>
    <row r="53" s="246" customFormat="1" hidden="1" spans="1:10">
      <c r="A53" s="250"/>
      <c r="B53" s="280"/>
      <c r="C53" s="281"/>
      <c r="D53" s="288"/>
      <c r="E53" s="282"/>
      <c r="F53" s="281"/>
      <c r="G53" s="283"/>
      <c r="H53" s="283"/>
      <c r="I53" s="283"/>
      <c r="J53" s="283"/>
    </row>
    <row r="54" s="246" customFormat="1" hidden="1" spans="1:10">
      <c r="A54" s="250"/>
      <c r="B54" s="280"/>
      <c r="C54" s="281"/>
      <c r="D54" s="288"/>
      <c r="E54" s="282"/>
      <c r="F54" s="281"/>
      <c r="G54" s="283"/>
      <c r="H54" s="283"/>
      <c r="I54" s="283"/>
      <c r="J54" s="283"/>
    </row>
    <row r="55" s="246" customFormat="1" hidden="1" spans="1:10">
      <c r="A55" s="250"/>
      <c r="B55" s="280"/>
      <c r="C55" s="281"/>
      <c r="D55" s="288"/>
      <c r="E55" s="282"/>
      <c r="F55" s="281"/>
      <c r="G55" s="283"/>
      <c r="H55" s="283"/>
      <c r="I55" s="283"/>
      <c r="J55" s="283"/>
    </row>
    <row r="56" s="246" customFormat="1" hidden="1" spans="1:10">
      <c r="A56" s="250"/>
      <c r="B56" s="280"/>
      <c r="C56" s="281"/>
      <c r="D56" s="288"/>
      <c r="E56" s="282"/>
      <c r="F56" s="281"/>
      <c r="G56" s="283"/>
      <c r="H56" s="283"/>
      <c r="I56" s="283"/>
      <c r="J56" s="283"/>
    </row>
    <row r="57" s="246" customFormat="1" hidden="1" spans="1:10">
      <c r="A57" s="250"/>
      <c r="B57" s="280"/>
      <c r="C57" s="281"/>
      <c r="D57" s="288"/>
      <c r="E57" s="282"/>
      <c r="F57" s="281"/>
      <c r="G57" s="283"/>
      <c r="H57" s="283"/>
      <c r="I57" s="283"/>
      <c r="J57" s="283"/>
    </row>
    <row r="58" s="246" customFormat="1" hidden="1" spans="1:10">
      <c r="A58" s="250"/>
      <c r="B58" s="280"/>
      <c r="C58" s="281"/>
      <c r="D58" s="288"/>
      <c r="E58" s="282"/>
      <c r="F58" s="281"/>
      <c r="G58" s="283"/>
      <c r="H58" s="283"/>
      <c r="I58" s="283"/>
      <c r="J58" s="283"/>
    </row>
    <row r="59" s="246" customFormat="1" hidden="1" spans="1:10">
      <c r="A59" s="250"/>
      <c r="B59" s="280"/>
      <c r="C59" s="281"/>
      <c r="D59" s="288"/>
      <c r="E59" s="282"/>
      <c r="F59" s="281"/>
      <c r="G59" s="283"/>
      <c r="H59" s="283"/>
      <c r="I59" s="283"/>
      <c r="J59" s="283"/>
    </row>
    <row r="60" s="246" customFormat="1" hidden="1" spans="1:10">
      <c r="A60" s="250"/>
      <c r="B60" s="280"/>
      <c r="C60" s="281"/>
      <c r="D60" s="288"/>
      <c r="E60" s="282"/>
      <c r="F60" s="281"/>
      <c r="G60" s="283"/>
      <c r="H60" s="283"/>
      <c r="I60" s="283"/>
      <c r="J60" s="283"/>
    </row>
    <row r="61" s="246" customFormat="1" hidden="1" spans="1:10">
      <c r="A61" s="250"/>
      <c r="B61" s="280"/>
      <c r="C61" s="281"/>
      <c r="D61" s="288"/>
      <c r="E61" s="282"/>
      <c r="F61" s="281"/>
      <c r="G61" s="283"/>
      <c r="H61" s="283"/>
      <c r="I61" s="283"/>
      <c r="J61" s="283"/>
    </row>
    <row r="62" s="246" customFormat="1" hidden="1" spans="1:10">
      <c r="A62" s="250"/>
      <c r="B62" s="280"/>
      <c r="C62" s="281"/>
      <c r="D62" s="288"/>
      <c r="E62" s="282"/>
      <c r="F62" s="281"/>
      <c r="G62" s="283"/>
      <c r="H62" s="283"/>
      <c r="I62" s="283"/>
      <c r="J62" s="283"/>
    </row>
    <row r="63" s="246" customFormat="1" hidden="1" spans="1:10">
      <c r="A63" s="250"/>
      <c r="B63" s="280"/>
      <c r="C63" s="281"/>
      <c r="D63" s="288"/>
      <c r="E63" s="282"/>
      <c r="F63" s="281"/>
      <c r="G63" s="283"/>
      <c r="H63" s="283"/>
      <c r="I63" s="283"/>
      <c r="J63" s="283"/>
    </row>
    <row r="64" s="246" customFormat="1" hidden="1" spans="1:10">
      <c r="A64" s="250"/>
      <c r="B64" s="280"/>
      <c r="C64" s="281"/>
      <c r="D64" s="288"/>
      <c r="E64" s="282"/>
      <c r="F64" s="281"/>
      <c r="G64" s="283"/>
      <c r="H64" s="283"/>
      <c r="I64" s="283"/>
      <c r="J64" s="283"/>
    </row>
    <row r="65" s="246" customFormat="1" hidden="1" spans="1:10">
      <c r="A65" s="250"/>
      <c r="B65" s="280"/>
      <c r="C65" s="281"/>
      <c r="D65" s="288"/>
      <c r="E65" s="282"/>
      <c r="F65" s="281"/>
      <c r="G65" s="283"/>
      <c r="H65" s="283"/>
      <c r="I65" s="283"/>
      <c r="J65" s="283"/>
    </row>
    <row r="66" s="246" customFormat="1" hidden="1" spans="1:10">
      <c r="A66" s="250"/>
      <c r="B66" s="284" t="s">
        <v>50</v>
      </c>
      <c r="C66" s="285"/>
      <c r="D66" s="284"/>
      <c r="E66" s="286"/>
      <c r="F66" s="285"/>
      <c r="G66" s="287">
        <f>SUM(G49:G65)</f>
        <v>16</v>
      </c>
      <c r="H66" s="287"/>
      <c r="I66" s="287"/>
      <c r="J66" s="287"/>
    </row>
    <row r="67" ht="16.5" hidden="1" spans="2:10">
      <c r="B67" s="263" t="s">
        <v>373</v>
      </c>
      <c r="C67" s="263"/>
      <c r="D67" s="263"/>
      <c r="E67" s="263"/>
      <c r="F67" s="263"/>
      <c r="G67" s="291">
        <f>SUM(G40:G46)</f>
        <v>0</v>
      </c>
      <c r="H67" s="263"/>
      <c r="I67" s="263"/>
      <c r="J67" s="263"/>
    </row>
    <row r="68" ht="67" hidden="1" customHeight="1" spans="2:10">
      <c r="B68" s="266" t="s">
        <v>374</v>
      </c>
      <c r="C68" s="292"/>
      <c r="D68" s="292"/>
      <c r="E68" s="292"/>
      <c r="F68" s="292"/>
      <c r="G68" s="292"/>
      <c r="H68" s="292"/>
      <c r="I68" s="292"/>
      <c r="J68" s="292"/>
    </row>
    <row r="69" ht="16.5" hidden="1" spans="2:10">
      <c r="B69" s="263" t="s">
        <v>375</v>
      </c>
      <c r="C69" s="263"/>
      <c r="D69" s="263"/>
      <c r="E69" s="263"/>
      <c r="F69" s="263"/>
      <c r="G69" s="263"/>
      <c r="H69" s="263"/>
      <c r="I69" s="263"/>
      <c r="J69" s="263"/>
    </row>
    <row r="70" hidden="1" spans="2:10">
      <c r="B70" s="293" t="str">
        <f>IF('1、课程目标与考核方式'!C2=0,"",'1、课程目标与考核方式'!C2)</f>
        <v>平时作业</v>
      </c>
      <c r="C70" s="293"/>
      <c r="D70" s="293"/>
      <c r="E70" s="293"/>
      <c r="F70" s="293"/>
      <c r="G70" s="293"/>
      <c r="H70" s="293"/>
      <c r="I70" s="293"/>
      <c r="J70" s="293"/>
    </row>
    <row r="71" s="246" customFormat="1" hidden="1" spans="1:10">
      <c r="A71" s="294"/>
      <c r="B71" s="295" t="s">
        <v>39</v>
      </c>
      <c r="C71" s="296" t="s">
        <v>376</v>
      </c>
      <c r="D71" s="296"/>
      <c r="E71" s="296" t="s">
        <v>377</v>
      </c>
      <c r="F71" s="296"/>
      <c r="G71" s="296" t="s">
        <v>378</v>
      </c>
      <c r="H71" s="296"/>
      <c r="I71" s="296" t="s">
        <v>379</v>
      </c>
      <c r="J71" s="296"/>
    </row>
    <row r="72" s="247" customFormat="1" hidden="1" customHeight="1" spans="1:25">
      <c r="A72" s="294">
        <f>'1、课程目标与考核方式'!C3</f>
        <v>5</v>
      </c>
      <c r="B72" s="297" t="str">
        <f>IF(A72&gt;0,B21,"---此行不填")</f>
        <v>课程目标1:</v>
      </c>
      <c r="C72" s="298" t="s">
        <v>380</v>
      </c>
      <c r="D72" s="298"/>
      <c r="E72" s="298"/>
      <c r="F72" s="298"/>
      <c r="G72" s="298"/>
      <c r="H72" s="298"/>
      <c r="I72" s="298"/>
      <c r="J72" s="298"/>
      <c r="K72" s="310" t="str">
        <f t="shared" ref="K72:K77" si="1">C72</f>
        <v>说明：突出学生能力考核，能够怎么样。示例：能够深入理解程序设计的基本原理和一般方法。能够正确进行程序设计和分析，提出的解决方案正确、合理。（下同）</v>
      </c>
      <c r="L72" s="310">
        <f t="shared" ref="L72:L77" si="2">E72</f>
        <v>0</v>
      </c>
      <c r="M72" s="310">
        <f t="shared" ref="M72:M77" si="3">G72</f>
        <v>0</v>
      </c>
      <c r="N72" s="310">
        <f t="shared" ref="N72:N77" si="4">I72</f>
        <v>0</v>
      </c>
      <c r="Y72" s="247">
        <v>0</v>
      </c>
    </row>
    <row r="73" s="247" customFormat="1" hidden="1" customHeight="1" spans="1:25">
      <c r="A73" s="294">
        <f>'1、课程目标与考核方式'!C4</f>
        <v>5</v>
      </c>
      <c r="B73" s="297" t="str">
        <f t="shared" ref="B73:B79" si="5">IF(A73&gt;0,B22,"---此行不填")</f>
        <v>课程目标2:</v>
      </c>
      <c r="C73" s="298" t="s">
        <v>380</v>
      </c>
      <c r="D73" s="298"/>
      <c r="E73" s="298"/>
      <c r="F73" s="298"/>
      <c r="G73" s="298"/>
      <c r="H73" s="298"/>
      <c r="I73" s="298"/>
      <c r="J73" s="298"/>
      <c r="K73" s="310" t="str">
        <f t="shared" si="1"/>
        <v>说明：突出学生能力考核，能够怎么样。示例：能够深入理解程序设计的基本原理和一般方法。能够正确进行程序设计和分析，提出的解决方案正确、合理。（下同）</v>
      </c>
      <c r="L73" s="310">
        <f t="shared" si="2"/>
        <v>0</v>
      </c>
      <c r="M73" s="310">
        <f t="shared" si="3"/>
        <v>0</v>
      </c>
      <c r="N73" s="310">
        <f t="shared" si="4"/>
        <v>0</v>
      </c>
      <c r="Y73" s="247">
        <f>'1、课程目标与考核方式'!C4</f>
        <v>5</v>
      </c>
    </row>
    <row r="74" s="247" customFormat="1" hidden="1" customHeight="1" spans="1:25">
      <c r="A74" s="294">
        <f>'1、课程目标与考核方式'!C5</f>
        <v>5</v>
      </c>
      <c r="B74" s="297" t="str">
        <f t="shared" si="5"/>
        <v>课程目标3:</v>
      </c>
      <c r="C74" s="298" t="s">
        <v>380</v>
      </c>
      <c r="D74" s="298"/>
      <c r="E74" s="298"/>
      <c r="F74" s="298"/>
      <c r="G74" s="298"/>
      <c r="H74" s="298"/>
      <c r="I74" s="298"/>
      <c r="J74" s="298"/>
      <c r="K74" s="310" t="str">
        <f t="shared" si="1"/>
        <v>说明：突出学生能力考核，能够怎么样。示例：能够深入理解程序设计的基本原理和一般方法。能够正确进行程序设计和分析，提出的解决方案正确、合理。（下同）</v>
      </c>
      <c r="L74" s="310">
        <f t="shared" si="2"/>
        <v>0</v>
      </c>
      <c r="M74" s="310">
        <f t="shared" si="3"/>
        <v>0</v>
      </c>
      <c r="N74" s="310">
        <f t="shared" si="4"/>
        <v>0</v>
      </c>
      <c r="Y74" s="247">
        <f>'1、课程目标与考核方式'!C5</f>
        <v>5</v>
      </c>
    </row>
    <row r="75" s="247" customFormat="1" hidden="1" customHeight="1" spans="1:25">
      <c r="A75" s="294">
        <f>'1、课程目标与考核方式'!C6</f>
        <v>0</v>
      </c>
      <c r="B75" s="297" t="str">
        <f t="shared" si="5"/>
        <v>---此行不填</v>
      </c>
      <c r="C75" s="298" t="s">
        <v>380</v>
      </c>
      <c r="D75" s="298"/>
      <c r="E75" s="298"/>
      <c r="F75" s="298"/>
      <c r="G75" s="298"/>
      <c r="H75" s="298"/>
      <c r="I75" s="298"/>
      <c r="J75" s="298"/>
      <c r="K75" s="310" t="str">
        <f t="shared" si="1"/>
        <v>说明：突出学生能力考核，能够怎么样。示例：能够深入理解程序设计的基本原理和一般方法。能够正确进行程序设计和分析，提出的解决方案正确、合理。（下同）</v>
      </c>
      <c r="L75" s="310">
        <f t="shared" si="2"/>
        <v>0</v>
      </c>
      <c r="M75" s="310">
        <f t="shared" si="3"/>
        <v>0</v>
      </c>
      <c r="N75" s="310">
        <f t="shared" si="4"/>
        <v>0</v>
      </c>
      <c r="Y75" s="247">
        <f>'1、课程目标与考核方式'!C6</f>
        <v>0</v>
      </c>
    </row>
    <row r="76" s="247" customFormat="1" hidden="1" customHeight="1" spans="1:25">
      <c r="A76" s="294">
        <f>'1、课程目标与考核方式'!C7</f>
        <v>0</v>
      </c>
      <c r="B76" s="297" t="str">
        <f t="shared" si="5"/>
        <v>---此行不填</v>
      </c>
      <c r="C76" s="298" t="s">
        <v>380</v>
      </c>
      <c r="D76" s="298"/>
      <c r="E76" s="298"/>
      <c r="F76" s="298"/>
      <c r="G76" s="298"/>
      <c r="H76" s="298"/>
      <c r="I76" s="298"/>
      <c r="J76" s="298"/>
      <c r="K76" s="310" t="str">
        <f t="shared" si="1"/>
        <v>说明：突出学生能力考核，能够怎么样。示例：能够深入理解程序设计的基本原理和一般方法。能够正确进行程序设计和分析，提出的解决方案正确、合理。（下同）</v>
      </c>
      <c r="L76" s="310">
        <f t="shared" si="2"/>
        <v>0</v>
      </c>
      <c r="M76" s="310">
        <f t="shared" si="3"/>
        <v>0</v>
      </c>
      <c r="N76" s="310">
        <f t="shared" si="4"/>
        <v>0</v>
      </c>
      <c r="Y76" s="247">
        <v>0</v>
      </c>
    </row>
    <row r="77" s="247" customFormat="1" hidden="1" customHeight="1" spans="1:25">
      <c r="A77" s="294">
        <f>'1、课程目标与考核方式'!C8</f>
        <v>0</v>
      </c>
      <c r="B77" s="297" t="str">
        <f t="shared" si="5"/>
        <v>---此行不填</v>
      </c>
      <c r="C77" s="298" t="s">
        <v>380</v>
      </c>
      <c r="D77" s="298"/>
      <c r="E77" s="298"/>
      <c r="F77" s="298"/>
      <c r="G77" s="298"/>
      <c r="H77" s="298"/>
      <c r="I77" s="298"/>
      <c r="J77" s="298"/>
      <c r="K77" s="310" t="str">
        <f t="shared" si="1"/>
        <v>说明：突出学生能力考核，能够怎么样。示例：能够深入理解程序设计的基本原理和一般方法。能够正确进行程序设计和分析，提出的解决方案正确、合理。（下同）</v>
      </c>
      <c r="L77" s="310">
        <f t="shared" si="2"/>
        <v>0</v>
      </c>
      <c r="M77" s="310">
        <f t="shared" si="3"/>
        <v>0</v>
      </c>
      <c r="N77" s="310">
        <f t="shared" si="4"/>
        <v>0</v>
      </c>
      <c r="Y77" s="247">
        <f>'1、课程目标与考核方式'!C8</f>
        <v>0</v>
      </c>
    </row>
    <row r="78" s="247" customFormat="1" hidden="1" customHeight="1" spans="1:14">
      <c r="A78" s="294"/>
      <c r="B78" s="297" t="str">
        <f t="shared" si="5"/>
        <v>---此行不填</v>
      </c>
      <c r="C78" s="298" t="s">
        <v>380</v>
      </c>
      <c r="D78" s="298"/>
      <c r="E78" s="299"/>
      <c r="F78" s="299"/>
      <c r="G78" s="299"/>
      <c r="H78" s="299"/>
      <c r="I78" s="299"/>
      <c r="J78" s="299"/>
      <c r="K78" s="310"/>
      <c r="L78" s="310"/>
      <c r="M78" s="310"/>
      <c r="N78" s="310"/>
    </row>
    <row r="79" s="247" customFormat="1" hidden="1" customHeight="1" spans="1:25">
      <c r="A79" s="294">
        <f>'1、课程目标与考核方式'!C9</f>
        <v>0</v>
      </c>
      <c r="B79" s="297" t="str">
        <f t="shared" si="5"/>
        <v>---此行不填</v>
      </c>
      <c r="C79" s="298" t="s">
        <v>380</v>
      </c>
      <c r="D79" s="298"/>
      <c r="E79" s="298"/>
      <c r="F79" s="298"/>
      <c r="G79" s="298"/>
      <c r="H79" s="298"/>
      <c r="I79" s="298"/>
      <c r="J79" s="298"/>
      <c r="K79" s="310" t="str">
        <f>C79</f>
        <v>说明：突出学生能力考核，能够怎么样。示例：能够深入理解程序设计的基本原理和一般方法。能够正确进行程序设计和分析，提出的解决方案正确、合理。（下同）</v>
      </c>
      <c r="L79" s="310">
        <f>E79</f>
        <v>0</v>
      </c>
      <c r="M79" s="310">
        <f>G79</f>
        <v>0</v>
      </c>
      <c r="N79" s="310">
        <f>I79</f>
        <v>0</v>
      </c>
      <c r="Y79" s="247">
        <f>'1、课程目标与考核方式'!C9</f>
        <v>0</v>
      </c>
    </row>
    <row r="80" s="247" customFormat="1" hidden="1" spans="1:10">
      <c r="A80" s="294"/>
      <c r="B80" s="300">
        <f>IF('1、课程目标与考核方式'!D2=0,"",'1、课程目标与考核方式'!D2)</f>
        <v>1</v>
      </c>
      <c r="C80" s="300"/>
      <c r="D80" s="300"/>
      <c r="E80" s="300"/>
      <c r="F80" s="300"/>
      <c r="G80" s="300"/>
      <c r="H80" s="300"/>
      <c r="I80" s="300"/>
      <c r="J80" s="300"/>
    </row>
    <row r="81" s="247" customFormat="1" hidden="1" spans="1:10">
      <c r="A81" s="294"/>
      <c r="B81" s="301" t="s">
        <v>39</v>
      </c>
      <c r="C81" s="302" t="s">
        <v>376</v>
      </c>
      <c r="D81" s="302"/>
      <c r="E81" s="302" t="s">
        <v>377</v>
      </c>
      <c r="F81" s="302"/>
      <c r="G81" s="302" t="s">
        <v>378</v>
      </c>
      <c r="H81" s="302"/>
      <c r="I81" s="302" t="s">
        <v>379</v>
      </c>
      <c r="J81" s="302"/>
    </row>
    <row r="82" s="247" customFormat="1" hidden="1" customHeight="1" spans="1:25">
      <c r="A82" s="294">
        <f>'1、课程目标与考核方式'!D3</f>
        <v>4</v>
      </c>
      <c r="B82" s="297" t="str">
        <f>IF(A82&gt;0,B21,"---此行不填")</f>
        <v>课程目标1:</v>
      </c>
      <c r="C82" s="298" t="s">
        <v>380</v>
      </c>
      <c r="D82" s="298"/>
      <c r="E82" s="298"/>
      <c r="F82" s="298"/>
      <c r="G82" s="298"/>
      <c r="H82" s="298"/>
      <c r="I82" s="298"/>
      <c r="J82" s="298"/>
      <c r="K82" s="311" t="str">
        <f t="shared" ref="K82:K87" si="6">C82</f>
        <v>说明：突出学生能力考核，能够怎么样。示例：能够深入理解程序设计的基本原理和一般方法。能够正确进行程序设计和分析，提出的解决方案正确、合理。（下同）</v>
      </c>
      <c r="L82" s="311">
        <f>E82</f>
        <v>0</v>
      </c>
      <c r="M82" s="311">
        <f>G82</f>
        <v>0</v>
      </c>
      <c r="N82" s="311">
        <f t="shared" ref="N82:N88" si="7">I82</f>
        <v>0</v>
      </c>
      <c r="Y82" s="247">
        <f>'1、课程目标与考核方式'!D3</f>
        <v>4</v>
      </c>
    </row>
    <row r="83" s="247" customFormat="1" hidden="1" customHeight="1" spans="1:25">
      <c r="A83" s="294">
        <f>'1、课程目标与考核方式'!D4</f>
        <v>4</v>
      </c>
      <c r="B83" s="297" t="str">
        <f t="shared" ref="B83:B89" si="8">IF(A83&gt;0,B22,"---此行不填")</f>
        <v>课程目标2:</v>
      </c>
      <c r="C83" s="298" t="s">
        <v>380</v>
      </c>
      <c r="D83" s="298"/>
      <c r="E83" s="298"/>
      <c r="F83" s="298"/>
      <c r="G83" s="298"/>
      <c r="H83" s="298"/>
      <c r="I83" s="298"/>
      <c r="J83" s="298"/>
      <c r="K83" s="311" t="str">
        <f t="shared" si="6"/>
        <v>说明：突出学生能力考核，能够怎么样。示例：能够深入理解程序设计的基本原理和一般方法。能够正确进行程序设计和分析，提出的解决方案正确、合理。（下同）</v>
      </c>
      <c r="L83" s="311">
        <f>E83</f>
        <v>0</v>
      </c>
      <c r="M83" s="311">
        <f>G83</f>
        <v>0</v>
      </c>
      <c r="N83" s="311">
        <f t="shared" si="7"/>
        <v>0</v>
      </c>
      <c r="Y83" s="247">
        <f>'1、课程目标与考核方式'!D4</f>
        <v>4</v>
      </c>
    </row>
    <row r="84" s="247" customFormat="1" hidden="1" customHeight="1" spans="1:25">
      <c r="A84" s="294">
        <f>'1、课程目标与考核方式'!D5</f>
        <v>4</v>
      </c>
      <c r="B84" s="297" t="str">
        <f t="shared" si="8"/>
        <v>课程目标3:</v>
      </c>
      <c r="C84" s="298" t="s">
        <v>380</v>
      </c>
      <c r="D84" s="298"/>
      <c r="E84" s="298"/>
      <c r="F84" s="298"/>
      <c r="G84" s="298"/>
      <c r="H84" s="298"/>
      <c r="I84" s="298"/>
      <c r="J84" s="298"/>
      <c r="K84" s="311" t="str">
        <f t="shared" si="6"/>
        <v>说明：突出学生能力考核，能够怎么样。示例：能够深入理解程序设计的基本原理和一般方法。能够正确进行程序设计和分析，提出的解决方案正确、合理。（下同）</v>
      </c>
      <c r="L84" s="311">
        <f>E84</f>
        <v>0</v>
      </c>
      <c r="M84" s="311">
        <f>G84</f>
        <v>0</v>
      </c>
      <c r="N84" s="311">
        <f t="shared" si="7"/>
        <v>0</v>
      </c>
      <c r="Y84" s="247">
        <f>'1、课程目标与考核方式'!D5</f>
        <v>4</v>
      </c>
    </row>
    <row r="85" s="247" customFormat="1" hidden="1" customHeight="1" spans="1:25">
      <c r="A85" s="294">
        <f>'1、课程目标与考核方式'!D6</f>
        <v>0</v>
      </c>
      <c r="B85" s="297" t="str">
        <f t="shared" si="8"/>
        <v>---此行不填</v>
      </c>
      <c r="C85" s="298" t="s">
        <v>380</v>
      </c>
      <c r="D85" s="298"/>
      <c r="E85" s="298"/>
      <c r="F85" s="298"/>
      <c r="G85" s="298"/>
      <c r="H85" s="298"/>
      <c r="I85" s="298"/>
      <c r="J85" s="298"/>
      <c r="K85" s="311" t="str">
        <f t="shared" si="6"/>
        <v>说明：突出学生能力考核，能够怎么样。示例：能够深入理解程序设计的基本原理和一般方法。能够正确进行程序设计和分析，提出的解决方案正确、合理。（下同）</v>
      </c>
      <c r="L85" s="311">
        <f>E85</f>
        <v>0</v>
      </c>
      <c r="M85" s="311">
        <f>G85</f>
        <v>0</v>
      </c>
      <c r="N85" s="311">
        <f t="shared" si="7"/>
        <v>0</v>
      </c>
      <c r="Y85" s="247">
        <f>'1、课程目标与考核方式'!D6</f>
        <v>0</v>
      </c>
    </row>
    <row r="86" s="247" customFormat="1" hidden="1" customHeight="1" spans="1:25">
      <c r="A86" s="294">
        <f>'1、课程目标与考核方式'!D7</f>
        <v>0</v>
      </c>
      <c r="B86" s="297" t="str">
        <f t="shared" si="8"/>
        <v>---此行不填</v>
      </c>
      <c r="C86" s="298" t="s">
        <v>380</v>
      </c>
      <c r="D86" s="298"/>
      <c r="E86" s="298"/>
      <c r="F86" s="298"/>
      <c r="G86" s="298"/>
      <c r="H86" s="298"/>
      <c r="I86" s="298"/>
      <c r="J86" s="298"/>
      <c r="K86" s="311" t="str">
        <f t="shared" si="6"/>
        <v>说明：突出学生能力考核，能够怎么样。示例：能够深入理解程序设计的基本原理和一般方法。能够正确进行程序设计和分析，提出的解决方案正确、合理。（下同）</v>
      </c>
      <c r="L86" s="311" t="str">
        <f>C86</f>
        <v>说明：突出学生能力考核，能够怎么样。示例：能够深入理解程序设计的基本原理和一般方法。能够正确进行程序设计和分析，提出的解决方案正确、合理。（下同）</v>
      </c>
      <c r="M86" s="311">
        <f>E86</f>
        <v>0</v>
      </c>
      <c r="N86" s="311">
        <f t="shared" si="7"/>
        <v>0</v>
      </c>
      <c r="Y86" s="247">
        <f>'1、课程目标与考核方式'!D7</f>
        <v>0</v>
      </c>
    </row>
    <row r="87" s="247" customFormat="1" hidden="1" customHeight="1" spans="1:25">
      <c r="A87" s="294">
        <f>'1、课程目标与考核方式'!D8</f>
        <v>0</v>
      </c>
      <c r="B87" s="297" t="str">
        <f t="shared" si="8"/>
        <v>---此行不填</v>
      </c>
      <c r="C87" s="298" t="s">
        <v>380</v>
      </c>
      <c r="D87" s="298"/>
      <c r="E87" s="298"/>
      <c r="F87" s="298"/>
      <c r="G87" s="298"/>
      <c r="H87" s="298"/>
      <c r="I87" s="298"/>
      <c r="J87" s="298"/>
      <c r="K87" s="311" t="str">
        <f t="shared" si="6"/>
        <v>说明：突出学生能力考核，能够怎么样。示例：能够深入理解程序设计的基本原理和一般方法。能够正确进行程序设计和分析，提出的解决方案正确、合理。（下同）</v>
      </c>
      <c r="L87" s="311">
        <f>E87</f>
        <v>0</v>
      </c>
      <c r="M87" s="311">
        <f>G87</f>
        <v>0</v>
      </c>
      <c r="N87" s="311">
        <f t="shared" si="7"/>
        <v>0</v>
      </c>
      <c r="Y87" s="247">
        <f>'1、课程目标与考核方式'!D8</f>
        <v>0</v>
      </c>
    </row>
    <row r="88" s="247" customFormat="1" hidden="1" customHeight="1" spans="1:14">
      <c r="A88" s="294"/>
      <c r="B88" s="297" t="str">
        <f t="shared" si="8"/>
        <v>---此行不填</v>
      </c>
      <c r="C88" s="298" t="s">
        <v>380</v>
      </c>
      <c r="D88" s="298"/>
      <c r="E88" s="299"/>
      <c r="F88" s="299"/>
      <c r="G88" s="299"/>
      <c r="H88" s="299"/>
      <c r="I88" s="299"/>
      <c r="J88" s="299"/>
      <c r="K88" s="311"/>
      <c r="L88" s="311"/>
      <c r="M88" s="311"/>
      <c r="N88" s="311"/>
    </row>
    <row r="89" s="247" customFormat="1" hidden="1" customHeight="1" spans="1:26">
      <c r="A89" s="294">
        <f>'1、课程目标与考核方式'!D9</f>
        <v>0</v>
      </c>
      <c r="B89" s="297" t="str">
        <f t="shared" si="8"/>
        <v>---此行不填</v>
      </c>
      <c r="C89" s="298" t="s">
        <v>380</v>
      </c>
      <c r="D89" s="298"/>
      <c r="E89" s="298"/>
      <c r="F89" s="298"/>
      <c r="G89" s="298"/>
      <c r="H89" s="298"/>
      <c r="I89" s="298"/>
      <c r="J89" s="298"/>
      <c r="K89" s="311" t="str">
        <f>C89</f>
        <v>说明：突出学生能力考核，能够怎么样。示例：能够深入理解程序设计的基本原理和一般方法。能够正确进行程序设计和分析，提出的解决方案正确、合理。（下同）</v>
      </c>
      <c r="L89" s="247">
        <f>E89</f>
        <v>0</v>
      </c>
      <c r="M89" s="247">
        <f>G89</f>
        <v>0</v>
      </c>
      <c r="N89" s="247">
        <f>I89</f>
        <v>0</v>
      </c>
      <c r="Y89" s="247">
        <f>'1、课程目标与考核方式'!D9</f>
        <v>0</v>
      </c>
      <c r="Z89" s="247" t="str">
        <f>IF('1、课程目标与考核方式'!D9&gt;0,VLOOKUP('1、课程目标与考核方式'!A9,'1、课程目标与考核方式'!A9:I15,1,FALSE),"")</f>
        <v/>
      </c>
    </row>
    <row r="90" s="247" customFormat="1" hidden="1" customHeight="1" spans="1:10">
      <c r="A90" s="294"/>
      <c r="B90" s="300" t="str">
        <f>IF('1、课程目标与考核方式'!E2=0,"",'1、课程目标与考核方式'!E2)</f>
        <v/>
      </c>
      <c r="C90" s="300"/>
      <c r="D90" s="300"/>
      <c r="E90" s="300"/>
      <c r="F90" s="300"/>
      <c r="G90" s="300"/>
      <c r="H90" s="300"/>
      <c r="I90" s="300"/>
      <c r="J90" s="300"/>
    </row>
    <row r="91" s="247" customFormat="1" hidden="1" customHeight="1" spans="1:10">
      <c r="A91" s="294"/>
      <c r="B91" s="301" t="s">
        <v>39</v>
      </c>
      <c r="C91" s="302" t="s">
        <v>376</v>
      </c>
      <c r="D91" s="302"/>
      <c r="E91" s="302" t="s">
        <v>377</v>
      </c>
      <c r="F91" s="302"/>
      <c r="G91" s="302" t="s">
        <v>378</v>
      </c>
      <c r="H91" s="302"/>
      <c r="I91" s="302" t="s">
        <v>379</v>
      </c>
      <c r="J91" s="302"/>
    </row>
    <row r="92" s="247" customFormat="1" hidden="1" customHeight="1" spans="1:25">
      <c r="A92" s="294">
        <f>'1、课程目标与考核方式'!E3</f>
        <v>0</v>
      </c>
      <c r="B92" s="297" t="str">
        <f>IF(A92&gt;0,B21,"---此行不填")</f>
        <v>---此行不填</v>
      </c>
      <c r="C92" s="298" t="s">
        <v>380</v>
      </c>
      <c r="D92" s="298"/>
      <c r="E92" s="298"/>
      <c r="F92" s="298"/>
      <c r="G92" s="298"/>
      <c r="H92" s="298"/>
      <c r="I92" s="298"/>
      <c r="J92" s="298"/>
      <c r="K92" s="311" t="str">
        <f t="shared" ref="K92:K98" si="9">C92</f>
        <v>说明：突出学生能力考核，能够怎么样。示例：能够深入理解程序设计的基本原理和一般方法。能够正确进行程序设计和分析，提出的解决方案正确、合理。（下同）</v>
      </c>
      <c r="L92" s="311">
        <f t="shared" ref="L92:L98" si="10">E92</f>
        <v>0</v>
      </c>
      <c r="M92" s="311">
        <f t="shared" ref="M92:M98" si="11">G92</f>
        <v>0</v>
      </c>
      <c r="N92" s="311">
        <f t="shared" ref="N92:N98" si="12">I92</f>
        <v>0</v>
      </c>
      <c r="Y92" s="247">
        <f>'1、课程目标与考核方式'!E3</f>
        <v>0</v>
      </c>
    </row>
    <row r="93" s="247" customFormat="1" hidden="1" customHeight="1" spans="1:25">
      <c r="A93" s="294">
        <f>'1、课程目标与考核方式'!E4</f>
        <v>0</v>
      </c>
      <c r="B93" s="297" t="str">
        <f t="shared" ref="B93:B99" si="13">IF(A93&gt;0,B22,"---此行不填")</f>
        <v>---此行不填</v>
      </c>
      <c r="C93" s="298" t="s">
        <v>380</v>
      </c>
      <c r="D93" s="298"/>
      <c r="E93" s="298"/>
      <c r="F93" s="298"/>
      <c r="G93" s="298"/>
      <c r="H93" s="298"/>
      <c r="I93" s="298"/>
      <c r="J93" s="298"/>
      <c r="K93" s="311" t="str">
        <f t="shared" si="9"/>
        <v>说明：突出学生能力考核，能够怎么样。示例：能够深入理解程序设计的基本原理和一般方法。能够正确进行程序设计和分析，提出的解决方案正确、合理。（下同）</v>
      </c>
      <c r="L93" s="311">
        <f t="shared" si="10"/>
        <v>0</v>
      </c>
      <c r="M93" s="311">
        <f t="shared" si="11"/>
        <v>0</v>
      </c>
      <c r="N93" s="311">
        <f t="shared" si="12"/>
        <v>0</v>
      </c>
      <c r="Y93" s="247">
        <f>'1、课程目标与考核方式'!E4</f>
        <v>0</v>
      </c>
    </row>
    <row r="94" s="247" customFormat="1" hidden="1" customHeight="1" spans="1:25">
      <c r="A94" s="294">
        <f>'1、课程目标与考核方式'!E5</f>
        <v>0</v>
      </c>
      <c r="B94" s="297" t="str">
        <f t="shared" si="13"/>
        <v>---此行不填</v>
      </c>
      <c r="C94" s="298" t="s">
        <v>380</v>
      </c>
      <c r="D94" s="298"/>
      <c r="E94" s="298"/>
      <c r="F94" s="298"/>
      <c r="G94" s="298"/>
      <c r="H94" s="298"/>
      <c r="I94" s="298"/>
      <c r="J94" s="298"/>
      <c r="K94" s="311" t="str">
        <f t="shared" si="9"/>
        <v>说明：突出学生能力考核，能够怎么样。示例：能够深入理解程序设计的基本原理和一般方法。能够正确进行程序设计和分析，提出的解决方案正确、合理。（下同）</v>
      </c>
      <c r="L94" s="311">
        <f t="shared" si="10"/>
        <v>0</v>
      </c>
      <c r="M94" s="311">
        <f t="shared" si="11"/>
        <v>0</v>
      </c>
      <c r="N94" s="311">
        <f t="shared" si="12"/>
        <v>0</v>
      </c>
      <c r="Y94" s="247">
        <f>'1、课程目标与考核方式'!E5</f>
        <v>0</v>
      </c>
    </row>
    <row r="95" s="247" customFormat="1" hidden="1" customHeight="1" spans="1:25">
      <c r="A95" s="294">
        <f>'1、课程目标与考核方式'!E6</f>
        <v>0</v>
      </c>
      <c r="B95" s="297" t="str">
        <f t="shared" si="13"/>
        <v>---此行不填</v>
      </c>
      <c r="C95" s="298" t="s">
        <v>380</v>
      </c>
      <c r="D95" s="298"/>
      <c r="E95" s="298"/>
      <c r="F95" s="298"/>
      <c r="G95" s="298"/>
      <c r="H95" s="298"/>
      <c r="I95" s="298"/>
      <c r="J95" s="298"/>
      <c r="K95" s="311" t="str">
        <f t="shared" si="9"/>
        <v>说明：突出学生能力考核，能够怎么样。示例：能够深入理解程序设计的基本原理和一般方法。能够正确进行程序设计和分析，提出的解决方案正确、合理。（下同）</v>
      </c>
      <c r="L95" s="311">
        <f t="shared" si="10"/>
        <v>0</v>
      </c>
      <c r="M95" s="311">
        <f t="shared" si="11"/>
        <v>0</v>
      </c>
      <c r="N95" s="311">
        <f t="shared" si="12"/>
        <v>0</v>
      </c>
      <c r="Y95" s="247">
        <f>'1、课程目标与考核方式'!E6</f>
        <v>0</v>
      </c>
    </row>
    <row r="96" s="247" customFormat="1" hidden="1" customHeight="1" spans="1:25">
      <c r="A96" s="294">
        <f>'1、课程目标与考核方式'!E7</f>
        <v>0</v>
      </c>
      <c r="B96" s="297" t="str">
        <f t="shared" si="13"/>
        <v>---此行不填</v>
      </c>
      <c r="C96" s="298" t="s">
        <v>380</v>
      </c>
      <c r="D96" s="298"/>
      <c r="E96" s="298"/>
      <c r="F96" s="298"/>
      <c r="G96" s="298"/>
      <c r="H96" s="298"/>
      <c r="I96" s="298"/>
      <c r="J96" s="298"/>
      <c r="K96" s="311" t="str">
        <f t="shared" si="9"/>
        <v>说明：突出学生能力考核，能够怎么样。示例：能够深入理解程序设计的基本原理和一般方法。能够正确进行程序设计和分析，提出的解决方案正确、合理。（下同）</v>
      </c>
      <c r="L96" s="311">
        <f t="shared" si="10"/>
        <v>0</v>
      </c>
      <c r="M96" s="311">
        <f t="shared" si="11"/>
        <v>0</v>
      </c>
      <c r="N96" s="311">
        <f t="shared" si="12"/>
        <v>0</v>
      </c>
      <c r="Y96" s="247">
        <f>'1、课程目标与考核方式'!E7</f>
        <v>0</v>
      </c>
    </row>
    <row r="97" s="247" customFormat="1" hidden="1" customHeight="1" spans="1:25">
      <c r="A97" s="294">
        <f>'1、课程目标与考核方式'!E8</f>
        <v>0</v>
      </c>
      <c r="B97" s="297" t="str">
        <f t="shared" si="13"/>
        <v>---此行不填</v>
      </c>
      <c r="C97" s="298" t="s">
        <v>380</v>
      </c>
      <c r="D97" s="298"/>
      <c r="E97" s="298"/>
      <c r="F97" s="298"/>
      <c r="G97" s="298"/>
      <c r="H97" s="298"/>
      <c r="I97" s="298"/>
      <c r="J97" s="298"/>
      <c r="K97" s="311" t="str">
        <f t="shared" si="9"/>
        <v>说明：突出学生能力考核，能够怎么样。示例：能够深入理解程序设计的基本原理和一般方法。能够正确进行程序设计和分析，提出的解决方案正确、合理。（下同）</v>
      </c>
      <c r="L97" s="311">
        <f t="shared" si="10"/>
        <v>0</v>
      </c>
      <c r="M97" s="311">
        <f t="shared" si="11"/>
        <v>0</v>
      </c>
      <c r="N97" s="311">
        <f t="shared" si="12"/>
        <v>0</v>
      </c>
      <c r="Y97" s="247">
        <f>'1、课程目标与考核方式'!E8</f>
        <v>0</v>
      </c>
    </row>
    <row r="98" s="247" customFormat="1" hidden="1" customHeight="1" spans="1:14">
      <c r="A98" s="294"/>
      <c r="B98" s="297" t="str">
        <f t="shared" si="13"/>
        <v>---此行不填</v>
      </c>
      <c r="C98" s="298" t="s">
        <v>380</v>
      </c>
      <c r="D98" s="298"/>
      <c r="E98" s="299"/>
      <c r="F98" s="299"/>
      <c r="G98" s="299"/>
      <c r="H98" s="299"/>
      <c r="I98" s="299"/>
      <c r="J98" s="299"/>
      <c r="K98" s="311"/>
      <c r="L98" s="311"/>
      <c r="M98" s="311"/>
      <c r="N98" s="311"/>
    </row>
    <row r="99" s="247" customFormat="1" hidden="1" customHeight="1" spans="1:25">
      <c r="A99" s="294">
        <f>'1、课程目标与考核方式'!E9</f>
        <v>0</v>
      </c>
      <c r="B99" s="297" t="str">
        <f t="shared" si="13"/>
        <v>---此行不填</v>
      </c>
      <c r="C99" s="298" t="s">
        <v>380</v>
      </c>
      <c r="D99" s="298"/>
      <c r="E99" s="298"/>
      <c r="F99" s="298"/>
      <c r="G99" s="298"/>
      <c r="H99" s="298"/>
      <c r="I99" s="298"/>
      <c r="J99" s="298"/>
      <c r="K99" s="311" t="str">
        <f>C99</f>
        <v>说明：突出学生能力考核，能够怎么样。示例：能够深入理解程序设计的基本原理和一般方法。能够正确进行程序设计和分析，提出的解决方案正确、合理。（下同）</v>
      </c>
      <c r="L99" s="311">
        <f>E99</f>
        <v>0</v>
      </c>
      <c r="M99" s="311">
        <f>G99</f>
        <v>0</v>
      </c>
      <c r="N99" s="311">
        <f>I99</f>
        <v>0</v>
      </c>
      <c r="Y99" s="247">
        <f>'1、课程目标与考核方式'!E9</f>
        <v>0</v>
      </c>
    </row>
    <row r="100" s="247" customFormat="1" hidden="1" customHeight="1" spans="1:10">
      <c r="A100" s="303"/>
      <c r="B100" s="300" t="str">
        <f>IF('1、课程目标与考核方式'!F2=0,"",'1、课程目标与考核方式'!F2)</f>
        <v/>
      </c>
      <c r="C100" s="300"/>
      <c r="D100" s="300"/>
      <c r="E100" s="300"/>
      <c r="F100" s="300"/>
      <c r="G100" s="300"/>
      <c r="H100" s="300"/>
      <c r="I100" s="300"/>
      <c r="J100" s="300"/>
    </row>
    <row r="101" s="248" customFormat="1" hidden="1" customHeight="1" spans="1:12">
      <c r="A101" s="303"/>
      <c r="B101" s="301" t="s">
        <v>39</v>
      </c>
      <c r="C101" s="302" t="s">
        <v>376</v>
      </c>
      <c r="D101" s="302"/>
      <c r="E101" s="302" t="s">
        <v>377</v>
      </c>
      <c r="F101" s="302"/>
      <c r="G101" s="302" t="s">
        <v>378</v>
      </c>
      <c r="H101" s="302"/>
      <c r="I101" s="302" t="s">
        <v>379</v>
      </c>
      <c r="J101" s="302"/>
      <c r="L101" s="312"/>
    </row>
    <row r="102" s="248" customFormat="1" hidden="1" customHeight="1" spans="1:25">
      <c r="A102" s="303">
        <f>'1、课程目标与考核方式'!F3</f>
        <v>0</v>
      </c>
      <c r="B102" s="297" t="str">
        <f>IF(A102&gt;0,B21,"---此行不填")</f>
        <v>---此行不填</v>
      </c>
      <c r="C102" s="298" t="s">
        <v>380</v>
      </c>
      <c r="D102" s="298"/>
      <c r="E102" s="298"/>
      <c r="F102" s="298"/>
      <c r="G102" s="298"/>
      <c r="H102" s="298"/>
      <c r="I102" s="298"/>
      <c r="J102" s="298"/>
      <c r="K102" s="312" t="str">
        <f>IF($B102="","",IF('1、课程目标与考核方式'!$F3&gt;0,"示例：学习积极主动，能按照要求完成预习；理论课准备充分，认真听讲，回答问题积极，能正确回答老师问题。对程序员应该具备的职业道德、职业操守和规范有正确的理解。","无需填写"))</f>
        <v>无需填写</v>
      </c>
      <c r="L102" s="312" t="str">
        <f>IF($B102="","",IF('1、课程目标与考核方式'!$F3&gt;0,"示例：学习积极主动，能按照要求完成预习；理论课准备充分，认真听讲，回答问题积极，能正确回答老师问题。对程序员应该具备的职业道德、职业操守和规范有正确的理解。","无需填写"))</f>
        <v>无需填写</v>
      </c>
      <c r="M102" s="312" t="str">
        <f>IF($B102="","",IF('1、课程目标与考核方式'!$F3&gt;0,"示例：学习积极主动，能按照要求完成预习；理论课准备充分，认真听讲，回答问题积极，能正确回答老师问题。对程序员应该具备的职业道德、职业操守和规范有正确的理解。","无需填写"))</f>
        <v>无需填写</v>
      </c>
      <c r="N102" s="312" t="str">
        <f>IF($B102="","",IF('1、课程目标与考核方式'!$F3&gt;0,"示例：学习积极主动，能按照要求完成预习；理论课准备充分，认真听讲，回答问题积极，能正确回答老师问题。对程序员应该具备的职业道德、职业操守和规范有正确的理解。","无需填写"))</f>
        <v>无需填写</v>
      </c>
      <c r="Y102" s="248">
        <f>'1、课程目标与考核方式'!F3</f>
        <v>0</v>
      </c>
    </row>
    <row r="103" s="248" customFormat="1" hidden="1" customHeight="1" spans="1:25">
      <c r="A103" s="303">
        <f>'1、课程目标与考核方式'!F4</f>
        <v>0</v>
      </c>
      <c r="B103" s="297" t="str">
        <f t="shared" ref="B103:B109" si="14">IF(A103&gt;0,B22,"---此行不填")</f>
        <v>---此行不填</v>
      </c>
      <c r="C103" s="298" t="s">
        <v>380</v>
      </c>
      <c r="D103" s="298"/>
      <c r="E103" s="298"/>
      <c r="F103" s="298"/>
      <c r="G103" s="298"/>
      <c r="H103" s="298"/>
      <c r="I103" s="298"/>
      <c r="J103" s="298"/>
      <c r="K103" s="312" t="str">
        <f>IF($B103="","",IF('1、课程目标与考核方式'!$F4&gt;0,"示例：学习积极主动，能按照要求完成预习；理论课准备充分，认真听讲，回答问题积极，能正确回答老师问题。对程序员应该具备的职业道德、职业操守和规范有正确的理解。","无需填写"))</f>
        <v>无需填写</v>
      </c>
      <c r="L103" s="312" t="str">
        <f>IF($B103="","",IF('1、课程目标与考核方式'!$F4&gt;0,"示例：学习积极主动，能按照要求完成预习；理论课准备充分，认真听讲，回答问题积极，能正确回答老师问题。对程序员应该具备的职业道德、职业操守和规范有正确的理解。","无需填写"))</f>
        <v>无需填写</v>
      </c>
      <c r="M103" s="312" t="str">
        <f>IF($B103="","",IF('1、课程目标与考核方式'!$F4&gt;0,"示例：学习积极主动，能按照要求完成预习；理论课准备充分，认真听讲，回答问题积极，能正确回答老师问题。对程序员应该具备的职业道德、职业操守和规范有正确的理解。","无需填写"))</f>
        <v>无需填写</v>
      </c>
      <c r="N103" s="312" t="str">
        <f>IF($B103="","",IF('1、课程目标与考核方式'!$F4&gt;0,"示例：学习积极主动，能按照要求完成预习；理论课准备充分，认真听讲，回答问题积极，能正确回答老师问题。对程序员应该具备的职业道德、职业操守和规范有正确的理解。","无需填写"))</f>
        <v>无需填写</v>
      </c>
      <c r="Y103" s="248">
        <f>'1、课程目标与考核方式'!F4</f>
        <v>0</v>
      </c>
    </row>
    <row r="104" s="248" customFormat="1" hidden="1" customHeight="1" spans="1:25">
      <c r="A104" s="303">
        <f>'1、课程目标与考核方式'!F5</f>
        <v>0</v>
      </c>
      <c r="B104" s="297" t="str">
        <f t="shared" si="14"/>
        <v>---此行不填</v>
      </c>
      <c r="C104" s="298" t="s">
        <v>380</v>
      </c>
      <c r="D104" s="298"/>
      <c r="E104" s="298"/>
      <c r="F104" s="298"/>
      <c r="G104" s="298"/>
      <c r="H104" s="298"/>
      <c r="I104" s="298"/>
      <c r="J104" s="298"/>
      <c r="K104" s="312" t="str">
        <f>IF($B104="","",IF('1、课程目标与考核方式'!$F5&gt;0,"示例：学习积极主动，能按照要求完成预习；理论课准备充分，认真听讲，回答问题积极，能正确回答老师问题。对程序员应该具备的职业道德、职业操守和规范有正确的理解。","无需填写"))</f>
        <v>无需填写</v>
      </c>
      <c r="L104" s="312" t="str">
        <f>IF($B104="","",IF('1、课程目标与考核方式'!$F5&gt;0,"示例：学习积极主动，能按照要求完成预习；理论课准备充分，认真听讲，回答问题积极，能正确回答老师问题。对程序员应该具备的职业道德、职业操守和规范有正确的理解。","无需填写"))</f>
        <v>无需填写</v>
      </c>
      <c r="M104" s="312" t="str">
        <f>IF($B104="","",IF('1、课程目标与考核方式'!$F5&gt;0,"示例：学习积极主动，能按照要求完成预习；理论课准备充分，认真听讲，回答问题积极，能正确回答老师问题。对程序员应该具备的职业道德、职业操守和规范有正确的理解。","无需填写"))</f>
        <v>无需填写</v>
      </c>
      <c r="N104" s="312" t="str">
        <f>IF($B104="","",IF('1、课程目标与考核方式'!$F5&gt;0,"示例：学习积极主动，能按照要求完成预习；理论课准备充分，认真听讲，回答问题积极，能正确回答老师问题。对程序员应该具备的职业道德、职业操守和规范有正确的理解。","无需填写"))</f>
        <v>无需填写</v>
      </c>
      <c r="Y104" s="248">
        <f>'1、课程目标与考核方式'!F5</f>
        <v>0</v>
      </c>
    </row>
    <row r="105" s="248" customFormat="1" hidden="1" customHeight="1" spans="1:25">
      <c r="A105" s="303">
        <f>'1、课程目标与考核方式'!F6</f>
        <v>0</v>
      </c>
      <c r="B105" s="297" t="str">
        <f t="shared" si="14"/>
        <v>---此行不填</v>
      </c>
      <c r="C105" s="298" t="s">
        <v>380</v>
      </c>
      <c r="D105" s="298"/>
      <c r="E105" s="298"/>
      <c r="F105" s="298"/>
      <c r="G105" s="298"/>
      <c r="H105" s="298"/>
      <c r="I105" s="298"/>
      <c r="J105" s="298"/>
      <c r="K105" s="312" t="str">
        <f>IF($B105="","",IF('1、课程目标与考核方式'!$F6&gt;0,"示例：学习积极主动，能按照要求完成预习；理论课准备充分，认真听讲，回答问题积极，能正确回答老师问题。对程序员应该具备的职业道德、职业操守和规范有正确的理解。","无需填写"))</f>
        <v>无需填写</v>
      </c>
      <c r="L105" s="312" t="str">
        <f>IF($B105="","",IF('1、课程目标与考核方式'!$F6&gt;0,"示例：学习积极主动，能按照要求完成预习；理论课准备充分，认真听讲，回答问题积极，能正确回答老师问题。对程序员应该具备的职业道德、职业操守和规范有正确的理解。","无需填写"))</f>
        <v>无需填写</v>
      </c>
      <c r="M105" s="312" t="str">
        <f>IF($B105="","",IF('1、课程目标与考核方式'!$F6&gt;0,"示例：学习积极主动，能按照要求完成预习；理论课准备充分，认真听讲，回答问题积极，能正确回答老师问题。对程序员应该具备的职业道德、职业操守和规范有正确的理解。","无需填写"))</f>
        <v>无需填写</v>
      </c>
      <c r="N105" s="312" t="str">
        <f>IF($B105="","",IF('1、课程目标与考核方式'!$F6&gt;0,"示例：学习积极主动，能按照要求完成预习；理论课准备充分，认真听讲，回答问题积极，能正确回答老师问题。对程序员应该具备的职业道德、职业操守和规范有正确的理解。","无需填写"))</f>
        <v>无需填写</v>
      </c>
      <c r="Y105" s="248">
        <f>'1、课程目标与考核方式'!F6</f>
        <v>0</v>
      </c>
    </row>
    <row r="106" s="248" customFormat="1" hidden="1" customHeight="1" spans="1:25">
      <c r="A106" s="303">
        <f>'1、课程目标与考核方式'!F7</f>
        <v>0</v>
      </c>
      <c r="B106" s="297" t="str">
        <f t="shared" si="14"/>
        <v>---此行不填</v>
      </c>
      <c r="C106" s="298" t="s">
        <v>380</v>
      </c>
      <c r="D106" s="298"/>
      <c r="E106" s="298"/>
      <c r="F106" s="298"/>
      <c r="G106" s="298"/>
      <c r="H106" s="298"/>
      <c r="I106" s="298"/>
      <c r="J106" s="298"/>
      <c r="K106" s="312" t="str">
        <f>IF($B106="","",IF('1、课程目标与考核方式'!$F7&gt;0,"示例：学习积极主动，能按照要求完成预习；理论课准备充分，认真听讲，回答问题积极，能正确回答老师问题。对程序员应该具备的职业道德、职业操守和规范有正确的理解。","无需填写"))</f>
        <v>无需填写</v>
      </c>
      <c r="L106" s="312" t="str">
        <f>IF($B106="","",IF('1、课程目标与考核方式'!$F7&gt;0,"示例：学习积极主动，能按照要求完成预习；理论课准备充分，认真听讲，回答问题积极，能正确回答老师问题。对程序员应该具备的职业道德、职业操守和规范有正确的理解。","无需填写"))</f>
        <v>无需填写</v>
      </c>
      <c r="M106" s="312" t="str">
        <f>IF($B106="","",IF('1、课程目标与考核方式'!$F7&gt;0,"示例：学习积极主动，能按照要求完成预习；理论课准备充分，认真听讲，回答问题积极，能正确回答老师问题。对程序员应该具备的职业道德、职业操守和规范有正确的理解。","无需填写"))</f>
        <v>无需填写</v>
      </c>
      <c r="N106" s="312" t="str">
        <f>IF($B106="","",IF('1、课程目标与考核方式'!$F7&gt;0,"示例：学习积极主动，能按照要求完成预习；理论课准备充分，认真听讲，回答问题积极，能正确回答老师问题。对程序员应该具备的职业道德、职业操守和规范有正确的理解。","无需填写"))</f>
        <v>无需填写</v>
      </c>
      <c r="Y106" s="248">
        <f>'1、课程目标与考核方式'!F7</f>
        <v>0</v>
      </c>
    </row>
    <row r="107" s="248" customFormat="1" hidden="1" customHeight="1" spans="1:25">
      <c r="A107" s="303">
        <f>'1、课程目标与考核方式'!F8</f>
        <v>0</v>
      </c>
      <c r="B107" s="297" t="str">
        <f t="shared" si="14"/>
        <v>---此行不填</v>
      </c>
      <c r="C107" s="298" t="s">
        <v>380</v>
      </c>
      <c r="D107" s="298"/>
      <c r="E107" s="298"/>
      <c r="F107" s="298"/>
      <c r="G107" s="298"/>
      <c r="H107" s="298"/>
      <c r="I107" s="298"/>
      <c r="J107" s="298"/>
      <c r="K107" s="312" t="str">
        <f>IF($B107="","",IF('1、课程目标与考核方式'!$F8&gt;0,"示例：学习积极主动，能按照要求完成预习；理论课准备充分，认真听讲，回答问题积极，能正确回答老师问题。对程序员应该具备的职业道德、职业操守和规范有正确的理解。","无需填写"))</f>
        <v>无需填写</v>
      </c>
      <c r="L107" s="312" t="str">
        <f>IF($B107="","",IF('1、课程目标与考核方式'!$F8&gt;0,"示例：学习积极主动，能按照要求完成预习；理论课准备充分，认真听讲，回答问题积极，能正确回答老师问题。对程序员应该具备的职业道德、职业操守和规范有正确的理解。","无需填写"))</f>
        <v>无需填写</v>
      </c>
      <c r="M107" s="312" t="str">
        <f>IF($B107="","",IF('1、课程目标与考核方式'!$F8&gt;0,"示例：学习积极主动，能按照要求完成预习；理论课准备充分，认真听讲，回答问题积极，能正确回答老师问题。对程序员应该具备的职业道德、职业操守和规范有正确的理解。","无需填写"))</f>
        <v>无需填写</v>
      </c>
      <c r="N107" s="312" t="str">
        <f>IF($B107="","",IF('1、课程目标与考核方式'!$F8&gt;0,"示例：学习积极主动，能按照要求完成预习；理论课准备充分，认真听讲，回答问题积极，能正确回答老师问题。对程序员应该具备的职业道德、职业操守和规范有正确的理解。","无需填写"))</f>
        <v>无需填写</v>
      </c>
      <c r="Y107" s="248">
        <f>'1、课程目标与考核方式'!F8</f>
        <v>0</v>
      </c>
    </row>
    <row r="108" s="248" customFormat="1" hidden="1" customHeight="1" spans="1:14">
      <c r="A108" s="303"/>
      <c r="B108" s="297" t="str">
        <f t="shared" si="14"/>
        <v>---此行不填</v>
      </c>
      <c r="C108" s="298" t="s">
        <v>380</v>
      </c>
      <c r="D108" s="298"/>
      <c r="E108" s="299"/>
      <c r="F108" s="299"/>
      <c r="G108" s="299"/>
      <c r="H108" s="299"/>
      <c r="I108" s="299"/>
      <c r="J108" s="299"/>
      <c r="K108" s="312"/>
      <c r="L108" s="312"/>
      <c r="M108" s="312"/>
      <c r="N108" s="312"/>
    </row>
    <row r="109" s="248" customFormat="1" hidden="1" customHeight="1" spans="1:25">
      <c r="A109" s="303">
        <f>'1、课程目标与考核方式'!F9</f>
        <v>0</v>
      </c>
      <c r="B109" s="297" t="str">
        <f t="shared" si="14"/>
        <v>---此行不填</v>
      </c>
      <c r="C109" s="298" t="s">
        <v>380</v>
      </c>
      <c r="D109" s="298"/>
      <c r="E109" s="298"/>
      <c r="F109" s="298"/>
      <c r="G109" s="298"/>
      <c r="H109" s="298"/>
      <c r="I109" s="298"/>
      <c r="J109" s="298"/>
      <c r="K109" s="312" t="str">
        <f>IF($B109="","",IF('1、课程目标与考核方式'!$F9&gt;0,"示例：学习积极主动，能按照要求完成预习；理论课准备充分，认真听讲，回答问题积极，能正确回答老师问题。对程序员应该具备的职业道德、职业操守和规范有正确的理解。","无需填写"))</f>
        <v>无需填写</v>
      </c>
      <c r="L109" s="312" t="str">
        <f>IF($B109="","",IF('1、课程目标与考核方式'!$F9&gt;0,"示例：学习积极主动，能按照要求完成预习；理论课准备充分，认真听讲，回答问题积极，能正确回答老师问题。对程序员应该具备的职业道德、职业操守和规范有正确的理解。","无需填写"))</f>
        <v>无需填写</v>
      </c>
      <c r="M109" s="312" t="str">
        <f>IF($B109="","",IF('1、课程目标与考核方式'!$F9&gt;0,"示例：学习积极主动，能按照要求完成预习；理论课准备充分，认真听讲，回答问题积极，能正确回答老师问题。对程序员应该具备的职业道德、职业操守和规范有正确的理解。","无需填写"))</f>
        <v>无需填写</v>
      </c>
      <c r="N109" s="312" t="str">
        <f>IF($B109="","",IF('1、课程目标与考核方式'!$F9&gt;0,"示例：学习积极主动，能按照要求完成预习；理论课准备充分，认真听讲，回答问题积极，能正确回答老师问题。对程序员应该具备的职业道德、职业操守和规范有正确的理解。","无需填写"))</f>
        <v>无需填写</v>
      </c>
      <c r="Y109" s="248">
        <f>'1、课程目标与考核方式'!F9</f>
        <v>0</v>
      </c>
    </row>
    <row r="110" s="247" customFormat="1" hidden="1" customHeight="1" spans="1:25">
      <c r="A110" s="294"/>
      <c r="B110" s="300" t="str">
        <f>IF('1、课程目标与考核方式'!G2=0,"",'1、课程目标与考核方式'!G2)</f>
        <v/>
      </c>
      <c r="C110" s="300"/>
      <c r="D110" s="300"/>
      <c r="E110" s="300"/>
      <c r="F110" s="300"/>
      <c r="G110" s="300"/>
      <c r="H110" s="300"/>
      <c r="I110" s="300"/>
      <c r="J110" s="300"/>
      <c r="Y110" s="248"/>
    </row>
    <row r="111" s="247" customFormat="1" hidden="1" customHeight="1" spans="1:10">
      <c r="A111" s="294"/>
      <c r="B111" s="304" t="s">
        <v>39</v>
      </c>
      <c r="C111" s="305" t="s">
        <v>376</v>
      </c>
      <c r="D111" s="305"/>
      <c r="E111" s="305" t="s">
        <v>377</v>
      </c>
      <c r="F111" s="305"/>
      <c r="G111" s="305" t="s">
        <v>378</v>
      </c>
      <c r="H111" s="305"/>
      <c r="I111" s="305" t="s">
        <v>379</v>
      </c>
      <c r="J111" s="305"/>
    </row>
    <row r="112" s="247" customFormat="1" hidden="1" customHeight="1" spans="1:25">
      <c r="A112" s="294">
        <f>'1、课程目标与考核方式'!G3</f>
        <v>0</v>
      </c>
      <c r="B112" s="297" t="str">
        <f>IF(A112&gt;0,B21,"---此行不填")</f>
        <v>---此行不填</v>
      </c>
      <c r="C112" s="298" t="s">
        <v>380</v>
      </c>
      <c r="D112" s="298"/>
      <c r="E112" s="306"/>
      <c r="F112" s="306"/>
      <c r="G112" s="306"/>
      <c r="H112" s="306"/>
      <c r="I112" s="306"/>
      <c r="J112" s="306"/>
      <c r="Y112" s="247">
        <f>'1、课程目标与考核方式'!G3</f>
        <v>0</v>
      </c>
    </row>
    <row r="113" s="247" customFormat="1" hidden="1" customHeight="1" spans="1:25">
      <c r="A113" s="294">
        <f>'1、课程目标与考核方式'!G4</f>
        <v>0</v>
      </c>
      <c r="B113" s="297" t="str">
        <f t="shared" ref="B113:B119" si="15">IF(A113&gt;0,B22,"---此行不填")</f>
        <v>---此行不填</v>
      </c>
      <c r="C113" s="298" t="s">
        <v>380</v>
      </c>
      <c r="D113" s="298"/>
      <c r="E113" s="306"/>
      <c r="F113" s="306"/>
      <c r="G113" s="306"/>
      <c r="H113" s="306"/>
      <c r="I113" s="306"/>
      <c r="J113" s="306"/>
      <c r="Y113" s="247">
        <f>'1、课程目标与考核方式'!G4</f>
        <v>0</v>
      </c>
    </row>
    <row r="114" s="247" customFormat="1" hidden="1" customHeight="1" spans="1:25">
      <c r="A114" s="294">
        <f>'1、课程目标与考核方式'!G5</f>
        <v>0</v>
      </c>
      <c r="B114" s="297" t="str">
        <f t="shared" si="15"/>
        <v>---此行不填</v>
      </c>
      <c r="C114" s="298" t="s">
        <v>380</v>
      </c>
      <c r="D114" s="298"/>
      <c r="E114" s="306"/>
      <c r="F114" s="306"/>
      <c r="G114" s="306"/>
      <c r="H114" s="306"/>
      <c r="I114" s="306"/>
      <c r="J114" s="306"/>
      <c r="Y114" s="247">
        <f>'1、课程目标与考核方式'!G5</f>
        <v>0</v>
      </c>
    </row>
    <row r="115" s="247" customFormat="1" hidden="1" customHeight="1" spans="1:25">
      <c r="A115" s="294">
        <f>'1、课程目标与考核方式'!G6</f>
        <v>0</v>
      </c>
      <c r="B115" s="297" t="str">
        <f t="shared" si="15"/>
        <v>---此行不填</v>
      </c>
      <c r="C115" s="298" t="s">
        <v>380</v>
      </c>
      <c r="D115" s="298"/>
      <c r="E115" s="306"/>
      <c r="F115" s="306"/>
      <c r="G115" s="306"/>
      <c r="H115" s="306"/>
      <c r="I115" s="306"/>
      <c r="J115" s="306"/>
      <c r="Y115" s="247">
        <f>'1、课程目标与考核方式'!G6</f>
        <v>0</v>
      </c>
    </row>
    <row r="116" s="247" customFormat="1" hidden="1" customHeight="1" spans="1:25">
      <c r="A116" s="294">
        <f>'1、课程目标与考核方式'!G7</f>
        <v>0</v>
      </c>
      <c r="B116" s="297" t="str">
        <f t="shared" si="15"/>
        <v>---此行不填</v>
      </c>
      <c r="C116" s="298" t="s">
        <v>380</v>
      </c>
      <c r="D116" s="298"/>
      <c r="E116" s="306"/>
      <c r="F116" s="306"/>
      <c r="G116" s="306"/>
      <c r="H116" s="306"/>
      <c r="I116" s="306"/>
      <c r="J116" s="306"/>
      <c r="Y116" s="247">
        <f>'1、课程目标与考核方式'!G7</f>
        <v>0</v>
      </c>
    </row>
    <row r="117" s="247" customFormat="1" hidden="1" customHeight="1" spans="1:10">
      <c r="A117" s="294"/>
      <c r="B117" s="297" t="str">
        <f t="shared" si="15"/>
        <v>---此行不填</v>
      </c>
      <c r="C117" s="298" t="s">
        <v>380</v>
      </c>
      <c r="D117" s="298"/>
      <c r="E117" s="307"/>
      <c r="F117" s="307"/>
      <c r="G117" s="307"/>
      <c r="H117" s="307"/>
      <c r="I117" s="307"/>
      <c r="J117" s="307"/>
    </row>
    <row r="118" s="247" customFormat="1" hidden="1" customHeight="1" spans="1:25">
      <c r="A118" s="294">
        <f>'1、课程目标与考核方式'!G8</f>
        <v>0</v>
      </c>
      <c r="B118" s="297" t="str">
        <f t="shared" si="15"/>
        <v>---此行不填</v>
      </c>
      <c r="C118" s="298" t="s">
        <v>380</v>
      </c>
      <c r="D118" s="298"/>
      <c r="E118" s="306"/>
      <c r="F118" s="306"/>
      <c r="G118" s="306"/>
      <c r="H118" s="306"/>
      <c r="I118" s="306"/>
      <c r="J118" s="306"/>
      <c r="Y118" s="247">
        <f>'1、课程目标与考核方式'!G8</f>
        <v>0</v>
      </c>
    </row>
    <row r="119" s="247" customFormat="1" hidden="1" customHeight="1" spans="1:25">
      <c r="A119" s="294">
        <f>'1、课程目标与考核方式'!G9</f>
        <v>0</v>
      </c>
      <c r="B119" s="297" t="str">
        <f t="shared" si="15"/>
        <v>---此行不填</v>
      </c>
      <c r="C119" s="298" t="s">
        <v>380</v>
      </c>
      <c r="D119" s="298"/>
      <c r="E119" s="306"/>
      <c r="F119" s="306"/>
      <c r="G119" s="306"/>
      <c r="H119" s="306"/>
      <c r="I119" s="306"/>
      <c r="J119" s="306"/>
      <c r="Y119" s="247">
        <f>'1、课程目标与考核方式'!G9</f>
        <v>0</v>
      </c>
    </row>
    <row r="120" s="247" customFormat="1" hidden="1" customHeight="1" spans="1:10">
      <c r="A120" s="294"/>
      <c r="B120" s="308" t="str">
        <f>IF('1、课程目标与考核方式'!H2=0,"",'1、课程目标与考核方式'!H2)</f>
        <v>期末考试</v>
      </c>
      <c r="C120" s="309"/>
      <c r="D120" s="309"/>
      <c r="E120" s="309"/>
      <c r="F120" s="309"/>
      <c r="G120" s="309"/>
      <c r="H120" s="309"/>
      <c r="I120" s="309"/>
      <c r="J120" s="313"/>
    </row>
    <row r="121" s="247" customFormat="1" hidden="1" customHeight="1" spans="1:10">
      <c r="A121" s="294"/>
      <c r="B121" s="301" t="s">
        <v>39</v>
      </c>
      <c r="C121" s="302" t="s">
        <v>376</v>
      </c>
      <c r="D121" s="302"/>
      <c r="E121" s="302" t="s">
        <v>377</v>
      </c>
      <c r="F121" s="302"/>
      <c r="G121" s="302" t="s">
        <v>378</v>
      </c>
      <c r="H121" s="302"/>
      <c r="I121" s="302" t="s">
        <v>379</v>
      </c>
      <c r="J121" s="302"/>
    </row>
    <row r="122" s="247" customFormat="1" hidden="1" customHeight="1" spans="1:25">
      <c r="A122" s="294">
        <f>'1、课程目标与考核方式'!H3</f>
        <v>20</v>
      </c>
      <c r="B122" s="297" t="str">
        <f>IF(A122&gt;0,B21,"---此行不填")</f>
        <v>课程目标1:</v>
      </c>
      <c r="C122" s="298" t="s">
        <v>380</v>
      </c>
      <c r="D122" s="298"/>
      <c r="E122" s="298"/>
      <c r="F122" s="298"/>
      <c r="G122" s="298"/>
      <c r="H122" s="298"/>
      <c r="I122" s="298"/>
      <c r="J122" s="298"/>
      <c r="K122" s="311" t="str">
        <f>C122</f>
        <v>说明：突出学生能力考核，能够怎么样。示例：能够深入理解程序设计的基本原理和一般方法。能够正确进行程序设计和分析，提出的解决方案正确、合理。（下同）</v>
      </c>
      <c r="L122" s="311">
        <f>E122</f>
        <v>0</v>
      </c>
      <c r="M122" s="311">
        <f>G122</f>
        <v>0</v>
      </c>
      <c r="N122" s="311">
        <f>I122</f>
        <v>0</v>
      </c>
      <c r="Y122" s="247">
        <f>'1、课程目标与考核方式'!H3</f>
        <v>20</v>
      </c>
    </row>
    <row r="123" s="247" customFormat="1" hidden="1" customHeight="1" spans="1:25">
      <c r="A123" s="294">
        <f>'1、课程目标与考核方式'!H4</f>
        <v>21</v>
      </c>
      <c r="B123" s="297" t="str">
        <f t="shared" ref="B123:B129" si="16">IF(A123&gt;0,B22,"---此行不填")</f>
        <v>课程目标2:</v>
      </c>
      <c r="C123" s="298" t="s">
        <v>380</v>
      </c>
      <c r="D123" s="298"/>
      <c r="E123" s="298"/>
      <c r="F123" s="298"/>
      <c r="G123" s="298"/>
      <c r="H123" s="298"/>
      <c r="I123" s="298"/>
      <c r="J123" s="298"/>
      <c r="K123" s="311" t="str">
        <f>C123</f>
        <v>说明：突出学生能力考核，能够怎么样。示例：能够深入理解程序设计的基本原理和一般方法。能够正确进行程序设计和分析，提出的解决方案正确、合理。（下同）</v>
      </c>
      <c r="L123" s="311">
        <f>E123</f>
        <v>0</v>
      </c>
      <c r="M123" s="311">
        <f>G123</f>
        <v>0</v>
      </c>
      <c r="N123" s="311">
        <f>I123</f>
        <v>0</v>
      </c>
      <c r="Y123" s="247">
        <f>'1、课程目标与考核方式'!H4</f>
        <v>21</v>
      </c>
    </row>
    <row r="124" s="247" customFormat="1" hidden="1" customHeight="1" spans="1:25">
      <c r="A124" s="294">
        <f>'1、课程目标与考核方式'!H5</f>
        <v>9</v>
      </c>
      <c r="B124" s="297" t="str">
        <f t="shared" si="16"/>
        <v>课程目标3:</v>
      </c>
      <c r="C124" s="298" t="s">
        <v>380</v>
      </c>
      <c r="D124" s="298"/>
      <c r="E124" s="298"/>
      <c r="F124" s="298"/>
      <c r="G124" s="298"/>
      <c r="H124" s="298"/>
      <c r="I124" s="298"/>
      <c r="J124" s="298"/>
      <c r="K124" s="311" t="str">
        <f>C124</f>
        <v>说明：突出学生能力考核，能够怎么样。示例：能够深入理解程序设计的基本原理和一般方法。能够正确进行程序设计和分析，提出的解决方案正确、合理。（下同）</v>
      </c>
      <c r="L124" s="311">
        <f>E124</f>
        <v>0</v>
      </c>
      <c r="M124" s="311">
        <f>G124</f>
        <v>0</v>
      </c>
      <c r="N124" s="311">
        <f>I124</f>
        <v>0</v>
      </c>
      <c r="Y124" s="247">
        <f>'1、课程目标与考核方式'!H5</f>
        <v>9</v>
      </c>
    </row>
    <row r="125" s="247" customFormat="1" hidden="1" customHeight="1" spans="1:25">
      <c r="A125" s="294">
        <f>'1、课程目标与考核方式'!H6</f>
        <v>0</v>
      </c>
      <c r="B125" s="297" t="str">
        <f t="shared" si="16"/>
        <v>---此行不填</v>
      </c>
      <c r="C125" s="298" t="s">
        <v>380</v>
      </c>
      <c r="D125" s="298"/>
      <c r="E125" s="298"/>
      <c r="F125" s="298"/>
      <c r="G125" s="298"/>
      <c r="H125" s="298"/>
      <c r="I125" s="298"/>
      <c r="J125" s="298"/>
      <c r="K125" s="311" t="str">
        <f>C125</f>
        <v>说明：突出学生能力考核，能够怎么样。示例：能够深入理解程序设计的基本原理和一般方法。能够正确进行程序设计和分析，提出的解决方案正确、合理。（下同）</v>
      </c>
      <c r="L125" s="311">
        <f>E125</f>
        <v>0</v>
      </c>
      <c r="M125" s="311">
        <f>G125</f>
        <v>0</v>
      </c>
      <c r="N125" s="311">
        <f>I125</f>
        <v>0</v>
      </c>
      <c r="Y125" s="247">
        <f>'1、课程目标与考核方式'!H6</f>
        <v>0</v>
      </c>
    </row>
    <row r="126" s="247" customFormat="1" hidden="1" customHeight="1" spans="1:25">
      <c r="A126" s="294">
        <f>'1、课程目标与考核方式'!H7</f>
        <v>0</v>
      </c>
      <c r="B126" s="297" t="str">
        <f t="shared" si="16"/>
        <v>---此行不填</v>
      </c>
      <c r="C126" s="298" t="s">
        <v>380</v>
      </c>
      <c r="D126" s="298"/>
      <c r="E126" s="298"/>
      <c r="F126" s="298"/>
      <c r="G126" s="298"/>
      <c r="H126" s="298"/>
      <c r="I126" s="298"/>
      <c r="J126" s="298"/>
      <c r="K126" s="311" t="str">
        <f>C126</f>
        <v>说明：突出学生能力考核，能够怎么样。示例：能够深入理解程序设计的基本原理和一般方法。能够正确进行程序设计和分析，提出的解决方案正确、合理。（下同）</v>
      </c>
      <c r="L126" s="311">
        <f>E126</f>
        <v>0</v>
      </c>
      <c r="M126" s="311">
        <f>G126</f>
        <v>0</v>
      </c>
      <c r="N126" s="311">
        <f>I126</f>
        <v>0</v>
      </c>
      <c r="Y126" s="247">
        <f>'1、课程目标与考核方式'!H7</f>
        <v>0</v>
      </c>
    </row>
    <row r="127" s="247" customFormat="1" hidden="1" customHeight="1" spans="1:14">
      <c r="A127" s="294"/>
      <c r="B127" s="297" t="str">
        <f t="shared" si="16"/>
        <v>---此行不填</v>
      </c>
      <c r="C127" s="298" t="s">
        <v>380</v>
      </c>
      <c r="D127" s="298"/>
      <c r="E127" s="299"/>
      <c r="F127" s="299"/>
      <c r="G127" s="299"/>
      <c r="H127" s="299"/>
      <c r="I127" s="299"/>
      <c r="J127" s="299"/>
      <c r="K127" s="311"/>
      <c r="L127" s="311"/>
      <c r="M127" s="311"/>
      <c r="N127" s="311"/>
    </row>
    <row r="128" s="247" customFormat="1" hidden="1" customHeight="1" spans="1:25">
      <c r="A128" s="294">
        <f>'1、课程目标与考核方式'!H8</f>
        <v>0</v>
      </c>
      <c r="B128" s="297" t="str">
        <f t="shared" si="16"/>
        <v>---此行不填</v>
      </c>
      <c r="C128" s="298" t="s">
        <v>380</v>
      </c>
      <c r="D128" s="298"/>
      <c r="E128" s="298"/>
      <c r="F128" s="298"/>
      <c r="G128" s="298"/>
      <c r="H128" s="298"/>
      <c r="I128" s="298"/>
      <c r="J128" s="298"/>
      <c r="K128" s="311" t="str">
        <f>C128</f>
        <v>说明：突出学生能力考核，能够怎么样。示例：能够深入理解程序设计的基本原理和一般方法。能够正确进行程序设计和分析，提出的解决方案正确、合理。（下同）</v>
      </c>
      <c r="L128" s="311">
        <f>E128</f>
        <v>0</v>
      </c>
      <c r="M128" s="311">
        <f>G128</f>
        <v>0</v>
      </c>
      <c r="N128" s="311">
        <f>I128</f>
        <v>0</v>
      </c>
      <c r="Y128" s="247">
        <f>'1、课程目标与考核方式'!H8</f>
        <v>0</v>
      </c>
    </row>
    <row r="129" s="247" customFormat="1" hidden="1" customHeight="1" spans="1:25">
      <c r="A129" s="294">
        <f>'1、课程目标与考核方式'!H9</f>
        <v>0</v>
      </c>
      <c r="B129" s="297" t="str">
        <f t="shared" si="16"/>
        <v>---此行不填</v>
      </c>
      <c r="C129" s="298" t="s">
        <v>380</v>
      </c>
      <c r="D129" s="298"/>
      <c r="E129" s="298"/>
      <c r="F129" s="298"/>
      <c r="G129" s="298"/>
      <c r="H129" s="298"/>
      <c r="I129" s="298"/>
      <c r="J129" s="298"/>
      <c r="K129" s="311" t="str">
        <f>B129</f>
        <v>---此行不填</v>
      </c>
      <c r="L129" s="311">
        <f>E129</f>
        <v>0</v>
      </c>
      <c r="M129" s="311">
        <f>G129</f>
        <v>0</v>
      </c>
      <c r="N129" s="311">
        <f>I129</f>
        <v>0</v>
      </c>
      <c r="Y129" s="247">
        <f>'1、课程目标与考核方式'!H9</f>
        <v>0</v>
      </c>
    </row>
    <row r="130" ht="16.5" hidden="1" spans="2:10">
      <c r="B130" s="314" t="s">
        <v>381</v>
      </c>
      <c r="C130" s="314"/>
      <c r="D130" s="314"/>
      <c r="E130" s="314"/>
      <c r="F130" s="314"/>
      <c r="G130" s="314"/>
      <c r="H130" s="314"/>
      <c r="I130" s="314"/>
      <c r="J130" s="314"/>
    </row>
    <row r="131" ht="111" hidden="1" customHeight="1" spans="2:10">
      <c r="B131" s="315" t="s">
        <v>382</v>
      </c>
      <c r="C131" s="315"/>
      <c r="D131" s="315"/>
      <c r="E131" s="315"/>
      <c r="F131" s="315"/>
      <c r="G131" s="315"/>
      <c r="H131" s="315"/>
      <c r="I131" s="315"/>
      <c r="J131" s="315"/>
    </row>
    <row r="132" ht="16.5" hidden="1" spans="2:10">
      <c r="B132" s="314" t="s">
        <v>383</v>
      </c>
      <c r="C132" s="314"/>
      <c r="D132" s="314"/>
      <c r="E132" s="314"/>
      <c r="F132" s="314"/>
      <c r="G132" s="314"/>
      <c r="H132" s="314"/>
      <c r="I132" s="314"/>
      <c r="J132" s="314"/>
    </row>
    <row r="133" ht="33" hidden="1" customHeight="1" spans="2:10">
      <c r="B133" s="315" t="s">
        <v>384</v>
      </c>
      <c r="C133" s="315"/>
      <c r="D133" s="315"/>
      <c r="E133" s="315"/>
      <c r="F133" s="315"/>
      <c r="G133" s="315"/>
      <c r="H133" s="315"/>
      <c r="I133" s="315"/>
      <c r="J133" s="315"/>
    </row>
    <row r="134" ht="16.5" hidden="1" spans="2:10">
      <c r="B134" s="316" t="s">
        <v>385</v>
      </c>
      <c r="C134" s="317"/>
      <c r="D134" s="317"/>
      <c r="E134" s="317"/>
      <c r="F134" s="317"/>
      <c r="G134" s="317"/>
      <c r="H134" s="317"/>
      <c r="I134" s="317"/>
      <c r="J134" s="317"/>
    </row>
    <row r="135" ht="26" hidden="1" customHeight="1" spans="2:10">
      <c r="B135" s="315" t="s">
        <v>386</v>
      </c>
      <c r="C135" s="315"/>
      <c r="D135" s="315"/>
      <c r="E135" s="315"/>
      <c r="F135" s="315"/>
      <c r="G135" s="315"/>
      <c r="H135" s="315"/>
      <c r="I135" s="315"/>
      <c r="J135" s="315"/>
    </row>
    <row r="136" hidden="1" spans="2:10">
      <c r="B136" s="318"/>
      <c r="C136" s="318"/>
      <c r="D136" s="318"/>
      <c r="E136" s="318"/>
      <c r="F136" s="319"/>
      <c r="G136" s="319"/>
      <c r="H136" s="320" t="s">
        <v>387</v>
      </c>
      <c r="I136" s="347" t="s">
        <v>388</v>
      </c>
      <c r="J136" s="348"/>
    </row>
    <row r="137" hidden="1" spans="2:10">
      <c r="B137" s="318"/>
      <c r="C137" s="318"/>
      <c r="D137" s="318"/>
      <c r="E137" s="318"/>
      <c r="F137" s="319"/>
      <c r="G137" s="319"/>
      <c r="H137" s="320" t="s">
        <v>389</v>
      </c>
      <c r="I137" s="348" t="s">
        <v>390</v>
      </c>
      <c r="J137" s="348"/>
    </row>
    <row r="138" ht="18" hidden="1" customHeight="1" spans="2:10">
      <c r="B138" s="318"/>
      <c r="C138" s="318"/>
      <c r="D138" s="318"/>
      <c r="E138" s="318"/>
      <c r="F138" s="318"/>
      <c r="G138" s="318"/>
      <c r="H138" s="321" t="s">
        <v>391</v>
      </c>
      <c r="I138" s="349"/>
      <c r="J138" s="350" t="s">
        <v>392</v>
      </c>
    </row>
    <row r="139" hidden="1" spans="2:10">
      <c r="B139" s="318"/>
      <c r="C139" s="318"/>
      <c r="D139" s="318"/>
      <c r="E139" s="318"/>
      <c r="F139" s="319"/>
      <c r="G139" s="319"/>
      <c r="H139" s="320" t="s">
        <v>393</v>
      </c>
      <c r="I139" s="351">
        <v>42979</v>
      </c>
      <c r="J139" s="352"/>
    </row>
    <row r="140" hidden="1"/>
    <row r="141" hidden="1"/>
    <row r="142" hidden="1"/>
    <row r="143" hidden="1"/>
    <row r="144" hidden="1"/>
    <row r="145" hidden="1"/>
    <row r="147" spans="2:10">
      <c r="B147" s="322" t="s">
        <v>394</v>
      </c>
      <c r="C147" s="322"/>
      <c r="D147" s="322"/>
      <c r="E147" s="322"/>
      <c r="F147" s="322"/>
      <c r="G147" s="322"/>
      <c r="H147" s="322"/>
      <c r="I147" s="322"/>
      <c r="J147" s="322"/>
    </row>
    <row r="148" spans="2:10">
      <c r="B148" s="322"/>
      <c r="C148" s="322"/>
      <c r="D148" s="322"/>
      <c r="E148" s="322"/>
      <c r="F148" s="322"/>
      <c r="G148" s="322"/>
      <c r="H148" s="322"/>
      <c r="I148" s="322"/>
      <c r="J148" s="322"/>
    </row>
    <row r="149" spans="2:10">
      <c r="B149" s="323" t="s">
        <v>395</v>
      </c>
      <c r="C149" s="323"/>
      <c r="D149" s="323"/>
      <c r="E149" s="323"/>
      <c r="F149" s="323"/>
      <c r="G149" s="323"/>
      <c r="H149" s="323"/>
      <c r="I149" s="323"/>
      <c r="J149" s="353" t="s">
        <v>396</v>
      </c>
    </row>
    <row r="150" spans="2:10">
      <c r="B150" s="324" t="s">
        <v>397</v>
      </c>
      <c r="C150" s="325"/>
      <c r="D150" s="325"/>
      <c r="E150" s="325"/>
      <c r="F150" s="325"/>
      <c r="G150" s="325"/>
      <c r="H150" s="325"/>
      <c r="I150" s="325"/>
      <c r="J150" s="354"/>
    </row>
    <row r="151" spans="2:31">
      <c r="B151" s="326" t="s">
        <v>398</v>
      </c>
      <c r="C151" s="327" t="str">
        <f>D2</f>
        <v>虚拟现实(22版)</v>
      </c>
      <c r="D151" s="327"/>
      <c r="E151" s="327"/>
      <c r="F151" s="327"/>
      <c r="G151" s="326" t="s">
        <v>399</v>
      </c>
      <c r="H151" s="327">
        <f>I2</f>
        <v>52080105</v>
      </c>
      <c r="I151" s="327"/>
      <c r="J151" s="327"/>
      <c r="AE151" s="360"/>
    </row>
    <row r="152" spans="2:10">
      <c r="B152" s="326" t="s">
        <v>347</v>
      </c>
      <c r="C152" s="328">
        <f>D3</f>
        <v>3</v>
      </c>
      <c r="D152" s="326" t="s">
        <v>400</v>
      </c>
      <c r="E152" s="328">
        <f>D4</f>
        <v>48</v>
      </c>
      <c r="F152" s="329"/>
      <c r="G152" s="330"/>
      <c r="H152" s="330"/>
      <c r="I152" s="330"/>
      <c r="J152" s="355"/>
    </row>
    <row r="153" spans="2:10">
      <c r="B153" s="326" t="s">
        <v>350</v>
      </c>
      <c r="C153" s="328">
        <f>D5</f>
        <v>32</v>
      </c>
      <c r="D153" s="326" t="s">
        <v>401</v>
      </c>
      <c r="E153" s="328">
        <f>F5</f>
        <v>0</v>
      </c>
      <c r="F153" s="326" t="s">
        <v>402</v>
      </c>
      <c r="G153" s="328">
        <f>H5</f>
        <v>16</v>
      </c>
      <c r="H153" s="329"/>
      <c r="I153" s="330"/>
      <c r="J153" s="355"/>
    </row>
    <row r="154" spans="2:10">
      <c r="B154" s="326" t="s">
        <v>403</v>
      </c>
      <c r="C154" s="326"/>
      <c r="D154" s="331" t="s">
        <v>404</v>
      </c>
      <c r="E154" s="332"/>
      <c r="F154" s="332"/>
      <c r="G154" s="332"/>
      <c r="H154" s="332"/>
      <c r="I154" s="332"/>
      <c r="J154" s="356"/>
    </row>
    <row r="155" spans="2:27">
      <c r="B155" s="333" t="str">
        <f>'1、课程目标与考核方式'!W3</f>
        <v>2.3(选择和寻求)能认识到解决问题有多种方案可供选择，在进行空间信息工程设计与开发时能够根据外部条件约束，会通过文献研究寻求可替代的解决方案；
3.4(非技术层面)能够在社会、健康、安全、法律、文化以及环境等制约因素下，从技术、经济角度对设计方案的可行性进行评价。
5.3(选用或开发)针对空间信息领域中的复杂工程问题，能够开发或选用恰当的仿真或设计工具和技术，模拟与预测空间信息领域复杂工程问题的解决方案，并能够分析其局限性。
</v>
      </c>
      <c r="C155" s="333"/>
      <c r="D155" s="333"/>
      <c r="E155" s="333"/>
      <c r="F155" s="333"/>
      <c r="G155" s="333"/>
      <c r="H155" s="333"/>
      <c r="I155" s="333"/>
      <c r="J155" s="333"/>
      <c r="AA155" s="246" t="s">
        <v>405</v>
      </c>
    </row>
    <row r="156" spans="2:27">
      <c r="B156" s="333"/>
      <c r="C156" s="333"/>
      <c r="D156" s="333"/>
      <c r="E156" s="333"/>
      <c r="F156" s="333"/>
      <c r="G156" s="333"/>
      <c r="H156" s="333"/>
      <c r="I156" s="333"/>
      <c r="J156" s="333"/>
      <c r="AA156" s="246" t="s">
        <v>406</v>
      </c>
    </row>
    <row r="157" s="249" customFormat="1" customHeight="1" spans="1:27">
      <c r="A157" s="334"/>
      <c r="B157" s="333"/>
      <c r="C157" s="333"/>
      <c r="D157" s="333"/>
      <c r="E157" s="333"/>
      <c r="F157" s="333"/>
      <c r="G157" s="333"/>
      <c r="H157" s="333"/>
      <c r="I157" s="333"/>
      <c r="J157" s="333"/>
      <c r="AA157" s="246" t="s">
        <v>407</v>
      </c>
    </row>
    <row r="158" spans="2:27">
      <c r="B158" s="333"/>
      <c r="C158" s="333"/>
      <c r="D158" s="333"/>
      <c r="E158" s="333"/>
      <c r="F158" s="333"/>
      <c r="G158" s="333"/>
      <c r="H158" s="333"/>
      <c r="I158" s="333"/>
      <c r="J158" s="333"/>
      <c r="AA158" s="246" t="s">
        <v>408</v>
      </c>
    </row>
    <row r="159" spans="2:27">
      <c r="B159" s="333"/>
      <c r="C159" s="333"/>
      <c r="D159" s="333"/>
      <c r="E159" s="333"/>
      <c r="F159" s="333"/>
      <c r="G159" s="333"/>
      <c r="H159" s="333"/>
      <c r="I159" s="333"/>
      <c r="J159" s="333"/>
      <c r="AA159" s="246" t="s">
        <v>409</v>
      </c>
    </row>
    <row r="160" spans="2:27">
      <c r="B160" s="333"/>
      <c r="C160" s="333"/>
      <c r="D160" s="333"/>
      <c r="E160" s="333"/>
      <c r="F160" s="333"/>
      <c r="G160" s="333"/>
      <c r="H160" s="333"/>
      <c r="I160" s="333"/>
      <c r="J160" s="333"/>
      <c r="AA160" s="246" t="s">
        <v>410</v>
      </c>
    </row>
    <row r="161" spans="2:27">
      <c r="B161" s="333"/>
      <c r="C161" s="333"/>
      <c r="D161" s="333"/>
      <c r="E161" s="333"/>
      <c r="F161" s="333"/>
      <c r="G161" s="333"/>
      <c r="H161" s="333"/>
      <c r="I161" s="333"/>
      <c r="J161" s="333"/>
      <c r="AA161" s="246" t="s">
        <v>411</v>
      </c>
    </row>
    <row r="162" spans="2:10">
      <c r="B162" s="333"/>
      <c r="C162" s="333"/>
      <c r="D162" s="333"/>
      <c r="E162" s="333"/>
      <c r="F162" s="333"/>
      <c r="G162" s="333"/>
      <c r="H162" s="333"/>
      <c r="I162" s="333"/>
      <c r="J162" s="333"/>
    </row>
    <row r="163" spans="2:10">
      <c r="B163" s="333"/>
      <c r="C163" s="333"/>
      <c r="D163" s="333"/>
      <c r="E163" s="333"/>
      <c r="F163" s="333"/>
      <c r="G163" s="333"/>
      <c r="H163" s="333"/>
      <c r="I163" s="333"/>
      <c r="J163" s="333"/>
    </row>
    <row r="164" spans="2:10">
      <c r="B164" s="335"/>
      <c r="C164" s="335"/>
      <c r="D164" s="335"/>
      <c r="E164" s="335"/>
      <c r="F164" s="335"/>
      <c r="G164" s="335"/>
      <c r="H164" s="335"/>
      <c r="I164" s="335"/>
      <c r="J164" s="335"/>
    </row>
    <row r="165" spans="2:10">
      <c r="B165" s="336" t="s">
        <v>412</v>
      </c>
      <c r="C165" s="337"/>
      <c r="D165" s="337" t="s">
        <v>413</v>
      </c>
      <c r="E165" s="338" t="s">
        <v>414</v>
      </c>
      <c r="F165" s="337" t="s">
        <v>415</v>
      </c>
      <c r="G165" s="337"/>
      <c r="H165" s="339" t="s">
        <v>416</v>
      </c>
      <c r="I165" s="339"/>
      <c r="J165" s="357"/>
    </row>
    <row r="166" spans="2:10">
      <c r="B166" s="340" t="s">
        <v>417</v>
      </c>
      <c r="C166" s="340"/>
      <c r="D166" s="341" t="str">
        <f>VLOOKUP($D$2,数据源1!$A$2:$X$120,23,0)</f>
        <v>专业课程</v>
      </c>
      <c r="E166" s="341"/>
      <c r="F166" s="341"/>
      <c r="G166" s="340" t="s">
        <v>418</v>
      </c>
      <c r="H166" s="342" t="str">
        <f>HYPERLINK(VLOOKUP($D$2,数据源1!$A$2:$X$120,24,0))</f>
        <v>https://xxxy.shou.edu.cn/_upload/article/files/17/02/14bf9aa1458a9637f8e9baefa566/52755c32-88d7-4818-b680-58b1b839ae96.docx</v>
      </c>
      <c r="I166" s="358"/>
      <c r="J166" s="358"/>
    </row>
    <row r="167" spans="2:10">
      <c r="B167" s="343" t="s">
        <v>419</v>
      </c>
      <c r="C167" s="344" t="s">
        <v>420</v>
      </c>
      <c r="D167" s="345"/>
      <c r="E167" s="345"/>
      <c r="F167" s="345"/>
      <c r="G167" s="345"/>
      <c r="H167" s="345"/>
      <c r="I167" s="345"/>
      <c r="J167" s="359"/>
    </row>
    <row r="168" spans="4:4">
      <c r="D168" s="346"/>
    </row>
  </sheetData>
  <sheetProtection password="DE0E" sheet="1" objects="1"/>
  <autoFilter ref="Y1:Y157">
    <extLst/>
  </autoFilter>
  <mergeCells count="340">
    <mergeCell ref="B1:J1"/>
    <mergeCell ref="D2:E2"/>
    <mergeCell ref="F2:G2"/>
    <mergeCell ref="I2:J2"/>
    <mergeCell ref="B4:C4"/>
    <mergeCell ref="I4:J4"/>
    <mergeCell ref="C6:D6"/>
    <mergeCell ref="D7:J7"/>
    <mergeCell ref="B8:J8"/>
    <mergeCell ref="B9:J9"/>
    <mergeCell ref="B10:J10"/>
    <mergeCell ref="C11:J11"/>
    <mergeCell ref="C12:J12"/>
    <mergeCell ref="C13:J13"/>
    <mergeCell ref="C14:J14"/>
    <mergeCell ref="C15:J15"/>
    <mergeCell ref="C16:J16"/>
    <mergeCell ref="C17:J17"/>
    <mergeCell ref="B18:J18"/>
    <mergeCell ref="C19:J19"/>
    <mergeCell ref="D28:J28"/>
    <mergeCell ref="B29:C29"/>
    <mergeCell ref="D29:F29"/>
    <mergeCell ref="B30:C30"/>
    <mergeCell ref="D30:F30"/>
    <mergeCell ref="B31:C31"/>
    <mergeCell ref="D31:F31"/>
    <mergeCell ref="B32:C32"/>
    <mergeCell ref="D32:F32"/>
    <mergeCell ref="B33:C33"/>
    <mergeCell ref="D33:F33"/>
    <mergeCell ref="B34:C34"/>
    <mergeCell ref="D34:F34"/>
    <mergeCell ref="B35:C35"/>
    <mergeCell ref="D35:F35"/>
    <mergeCell ref="B36:C36"/>
    <mergeCell ref="D36:F36"/>
    <mergeCell ref="B37:C37"/>
    <mergeCell ref="D37:F37"/>
    <mergeCell ref="B38:C38"/>
    <mergeCell ref="D38:F38"/>
    <mergeCell ref="B39:C39"/>
    <mergeCell ref="D39:F39"/>
    <mergeCell ref="B40:C40"/>
    <mergeCell ref="D40:F40"/>
    <mergeCell ref="B41:C41"/>
    <mergeCell ref="D41:F41"/>
    <mergeCell ref="B42:C42"/>
    <mergeCell ref="D42:F42"/>
    <mergeCell ref="B43:C43"/>
    <mergeCell ref="D43:F43"/>
    <mergeCell ref="B44:C44"/>
    <mergeCell ref="D44:F44"/>
    <mergeCell ref="B46:C46"/>
    <mergeCell ref="D46:F46"/>
    <mergeCell ref="B47:C47"/>
    <mergeCell ref="D47:F47"/>
    <mergeCell ref="B48:C48"/>
    <mergeCell ref="D48:F48"/>
    <mergeCell ref="B49:C49"/>
    <mergeCell ref="D49:F49"/>
    <mergeCell ref="B50:C50"/>
    <mergeCell ref="D50:F50"/>
    <mergeCell ref="B51:C51"/>
    <mergeCell ref="D51:F51"/>
    <mergeCell ref="B52:C52"/>
    <mergeCell ref="D52:F52"/>
    <mergeCell ref="B53:C53"/>
    <mergeCell ref="D53:F53"/>
    <mergeCell ref="B54:C54"/>
    <mergeCell ref="D54:F54"/>
    <mergeCell ref="B55:C55"/>
    <mergeCell ref="D55:F55"/>
    <mergeCell ref="B56:C56"/>
    <mergeCell ref="D56:F56"/>
    <mergeCell ref="B57:C57"/>
    <mergeCell ref="D57:F57"/>
    <mergeCell ref="B58:C58"/>
    <mergeCell ref="D58:F58"/>
    <mergeCell ref="B59:C59"/>
    <mergeCell ref="D59:F59"/>
    <mergeCell ref="B60:C60"/>
    <mergeCell ref="D60:F60"/>
    <mergeCell ref="B61:C61"/>
    <mergeCell ref="D61:F61"/>
    <mergeCell ref="B62:C62"/>
    <mergeCell ref="D62:F62"/>
    <mergeCell ref="B63:C63"/>
    <mergeCell ref="D63:F63"/>
    <mergeCell ref="B65:C65"/>
    <mergeCell ref="D65:F65"/>
    <mergeCell ref="B66:C66"/>
    <mergeCell ref="D66:F66"/>
    <mergeCell ref="B68:J68"/>
    <mergeCell ref="B70:J70"/>
    <mergeCell ref="C71:D71"/>
    <mergeCell ref="E71:F71"/>
    <mergeCell ref="G71:H71"/>
    <mergeCell ref="I71:J71"/>
    <mergeCell ref="C72:D72"/>
    <mergeCell ref="E72:F72"/>
    <mergeCell ref="G72:H72"/>
    <mergeCell ref="I72:J72"/>
    <mergeCell ref="C73:D73"/>
    <mergeCell ref="E73:F73"/>
    <mergeCell ref="G73:H73"/>
    <mergeCell ref="I73:J73"/>
    <mergeCell ref="C74:D74"/>
    <mergeCell ref="E74:F74"/>
    <mergeCell ref="G74:H74"/>
    <mergeCell ref="I74:J74"/>
    <mergeCell ref="C75:D75"/>
    <mergeCell ref="E75:F75"/>
    <mergeCell ref="G75:H75"/>
    <mergeCell ref="I75:J75"/>
    <mergeCell ref="C76:D76"/>
    <mergeCell ref="E76:F76"/>
    <mergeCell ref="G76:H76"/>
    <mergeCell ref="I76:J76"/>
    <mergeCell ref="C77:D77"/>
    <mergeCell ref="E77:F77"/>
    <mergeCell ref="G77:H77"/>
    <mergeCell ref="I77:J77"/>
    <mergeCell ref="C78:D78"/>
    <mergeCell ref="E78:F78"/>
    <mergeCell ref="G78:H78"/>
    <mergeCell ref="I78:J78"/>
    <mergeCell ref="C79:D79"/>
    <mergeCell ref="E79:F79"/>
    <mergeCell ref="G79:H79"/>
    <mergeCell ref="I79:J79"/>
    <mergeCell ref="B80:J80"/>
    <mergeCell ref="C81:D81"/>
    <mergeCell ref="E81:F81"/>
    <mergeCell ref="G81:H81"/>
    <mergeCell ref="I81:J81"/>
    <mergeCell ref="C82:D82"/>
    <mergeCell ref="E82:F82"/>
    <mergeCell ref="G82:H82"/>
    <mergeCell ref="I82:J82"/>
    <mergeCell ref="C83:D83"/>
    <mergeCell ref="E83:F83"/>
    <mergeCell ref="G83:H83"/>
    <mergeCell ref="I83:J83"/>
    <mergeCell ref="C84:D84"/>
    <mergeCell ref="E84:F84"/>
    <mergeCell ref="G84:H84"/>
    <mergeCell ref="I84:J84"/>
    <mergeCell ref="C85:D85"/>
    <mergeCell ref="E85:F85"/>
    <mergeCell ref="G85:H85"/>
    <mergeCell ref="I85:J85"/>
    <mergeCell ref="C86:D86"/>
    <mergeCell ref="E86:F86"/>
    <mergeCell ref="G86:H86"/>
    <mergeCell ref="I86:J86"/>
    <mergeCell ref="C87:D87"/>
    <mergeCell ref="E87:F87"/>
    <mergeCell ref="G87:H87"/>
    <mergeCell ref="I87:J87"/>
    <mergeCell ref="C88:D88"/>
    <mergeCell ref="E88:F88"/>
    <mergeCell ref="G88:H88"/>
    <mergeCell ref="I88:J88"/>
    <mergeCell ref="C89:D89"/>
    <mergeCell ref="E89:F89"/>
    <mergeCell ref="G89:H89"/>
    <mergeCell ref="I89:J89"/>
    <mergeCell ref="B90:J90"/>
    <mergeCell ref="C91:D91"/>
    <mergeCell ref="E91:F91"/>
    <mergeCell ref="G91:H91"/>
    <mergeCell ref="I91:J91"/>
    <mergeCell ref="C92:D92"/>
    <mergeCell ref="E92:F92"/>
    <mergeCell ref="G92:H92"/>
    <mergeCell ref="I92:J92"/>
    <mergeCell ref="C93:D93"/>
    <mergeCell ref="E93:F93"/>
    <mergeCell ref="G93:H93"/>
    <mergeCell ref="I93:J93"/>
    <mergeCell ref="C94:D94"/>
    <mergeCell ref="E94:F94"/>
    <mergeCell ref="G94:H94"/>
    <mergeCell ref="I94:J94"/>
    <mergeCell ref="C95:D95"/>
    <mergeCell ref="E95:F95"/>
    <mergeCell ref="G95:H95"/>
    <mergeCell ref="I95:J95"/>
    <mergeCell ref="C96:D96"/>
    <mergeCell ref="E96:F96"/>
    <mergeCell ref="G96:H96"/>
    <mergeCell ref="I96:J96"/>
    <mergeCell ref="C97:D97"/>
    <mergeCell ref="E97:F97"/>
    <mergeCell ref="G97:H97"/>
    <mergeCell ref="I97:J97"/>
    <mergeCell ref="C98:D98"/>
    <mergeCell ref="E98:F98"/>
    <mergeCell ref="G98:H98"/>
    <mergeCell ref="I98:J98"/>
    <mergeCell ref="C99:D99"/>
    <mergeCell ref="E99:F99"/>
    <mergeCell ref="G99:H99"/>
    <mergeCell ref="I99:J99"/>
    <mergeCell ref="B100:J100"/>
    <mergeCell ref="C101:D101"/>
    <mergeCell ref="E101:F101"/>
    <mergeCell ref="G101:H101"/>
    <mergeCell ref="I101:J101"/>
    <mergeCell ref="C102:D102"/>
    <mergeCell ref="E102:F102"/>
    <mergeCell ref="G102:H102"/>
    <mergeCell ref="I102:J102"/>
    <mergeCell ref="C103:D103"/>
    <mergeCell ref="E103:F103"/>
    <mergeCell ref="G103:H103"/>
    <mergeCell ref="I103:J103"/>
    <mergeCell ref="C104:D104"/>
    <mergeCell ref="E104:F104"/>
    <mergeCell ref="G104:H104"/>
    <mergeCell ref="I104:J104"/>
    <mergeCell ref="C105:D105"/>
    <mergeCell ref="E105:F105"/>
    <mergeCell ref="G105:H105"/>
    <mergeCell ref="I105:J105"/>
    <mergeCell ref="C106:D106"/>
    <mergeCell ref="E106:F106"/>
    <mergeCell ref="G106:H106"/>
    <mergeCell ref="I106:J106"/>
    <mergeCell ref="C107:D107"/>
    <mergeCell ref="E107:F107"/>
    <mergeCell ref="G107:H107"/>
    <mergeCell ref="I107:J107"/>
    <mergeCell ref="C108:D108"/>
    <mergeCell ref="E108:F108"/>
    <mergeCell ref="G108:H108"/>
    <mergeCell ref="I108:J108"/>
    <mergeCell ref="C109:D109"/>
    <mergeCell ref="E109:F109"/>
    <mergeCell ref="G109:H109"/>
    <mergeCell ref="I109:J109"/>
    <mergeCell ref="B110:J110"/>
    <mergeCell ref="C111:D111"/>
    <mergeCell ref="E111:F111"/>
    <mergeCell ref="G111:H111"/>
    <mergeCell ref="I111:J111"/>
    <mergeCell ref="C112:D112"/>
    <mergeCell ref="E112:F112"/>
    <mergeCell ref="G112:H112"/>
    <mergeCell ref="I112:J112"/>
    <mergeCell ref="C113:D113"/>
    <mergeCell ref="E113:F113"/>
    <mergeCell ref="G113:H113"/>
    <mergeCell ref="I113:J113"/>
    <mergeCell ref="C114:D114"/>
    <mergeCell ref="E114:F114"/>
    <mergeCell ref="G114:H114"/>
    <mergeCell ref="I114:J114"/>
    <mergeCell ref="C115:D115"/>
    <mergeCell ref="E115:F115"/>
    <mergeCell ref="G115:H115"/>
    <mergeCell ref="I115:J115"/>
    <mergeCell ref="C116:D116"/>
    <mergeCell ref="E116:F116"/>
    <mergeCell ref="G116:H116"/>
    <mergeCell ref="I116:J116"/>
    <mergeCell ref="C117:D117"/>
    <mergeCell ref="E117:F117"/>
    <mergeCell ref="G117:H117"/>
    <mergeCell ref="I117:J117"/>
    <mergeCell ref="C118:D118"/>
    <mergeCell ref="E118:F118"/>
    <mergeCell ref="G118:H118"/>
    <mergeCell ref="I118:J118"/>
    <mergeCell ref="C119:D119"/>
    <mergeCell ref="E119:F119"/>
    <mergeCell ref="G119:H119"/>
    <mergeCell ref="I119:J119"/>
    <mergeCell ref="B120:J120"/>
    <mergeCell ref="C121:D121"/>
    <mergeCell ref="E121:F121"/>
    <mergeCell ref="G121:H121"/>
    <mergeCell ref="I121:J121"/>
    <mergeCell ref="C122:D122"/>
    <mergeCell ref="E122:F122"/>
    <mergeCell ref="G122:H122"/>
    <mergeCell ref="I122:J122"/>
    <mergeCell ref="C123:D123"/>
    <mergeCell ref="E123:F123"/>
    <mergeCell ref="G123:H123"/>
    <mergeCell ref="I123:J123"/>
    <mergeCell ref="C124:D124"/>
    <mergeCell ref="E124:F124"/>
    <mergeCell ref="G124:H124"/>
    <mergeCell ref="I124:J124"/>
    <mergeCell ref="C125:D125"/>
    <mergeCell ref="E125:F125"/>
    <mergeCell ref="G125:H125"/>
    <mergeCell ref="I125:J125"/>
    <mergeCell ref="C126:D126"/>
    <mergeCell ref="E126:F126"/>
    <mergeCell ref="G126:H126"/>
    <mergeCell ref="I126:J126"/>
    <mergeCell ref="C127:D127"/>
    <mergeCell ref="E127:F127"/>
    <mergeCell ref="G127:H127"/>
    <mergeCell ref="I127:J127"/>
    <mergeCell ref="C128:D128"/>
    <mergeCell ref="E128:F128"/>
    <mergeCell ref="G128:H128"/>
    <mergeCell ref="I128:J128"/>
    <mergeCell ref="C129:D129"/>
    <mergeCell ref="E129:F129"/>
    <mergeCell ref="G129:H129"/>
    <mergeCell ref="I129:J129"/>
    <mergeCell ref="B130:J130"/>
    <mergeCell ref="B131:J131"/>
    <mergeCell ref="B132:J132"/>
    <mergeCell ref="B133:J133"/>
    <mergeCell ref="B134:J134"/>
    <mergeCell ref="B135:J135"/>
    <mergeCell ref="F136:G136"/>
    <mergeCell ref="F137:G137"/>
    <mergeCell ref="H138:I138"/>
    <mergeCell ref="F139:G139"/>
    <mergeCell ref="I139:J139"/>
    <mergeCell ref="B150:J150"/>
    <mergeCell ref="C151:F151"/>
    <mergeCell ref="H151:J151"/>
    <mergeCell ref="F152:J152"/>
    <mergeCell ref="H153:J153"/>
    <mergeCell ref="D154:J154"/>
    <mergeCell ref="H165:J165"/>
    <mergeCell ref="D166:F166"/>
    <mergeCell ref="H166:J166"/>
    <mergeCell ref="C167:J167"/>
    <mergeCell ref="B19:B20"/>
    <mergeCell ref="B147:J148"/>
    <mergeCell ref="B155:J164"/>
  </mergeCells>
  <conditionalFormatting sqref="B70:J79">
    <cfRule type="expression" dxfId="2" priority="11">
      <formula>$B$70=""</formula>
    </cfRule>
  </conditionalFormatting>
  <conditionalFormatting sqref="B80:J89">
    <cfRule type="expression" dxfId="2" priority="10">
      <formula>$B$80=""</formula>
    </cfRule>
  </conditionalFormatting>
  <conditionalFormatting sqref="B90:J99">
    <cfRule type="expression" dxfId="2" priority="9">
      <formula>$B$90=""</formula>
    </cfRule>
  </conditionalFormatting>
  <conditionalFormatting sqref="B100:J109">
    <cfRule type="expression" dxfId="2" priority="8">
      <formula>$B$100=""</formula>
    </cfRule>
  </conditionalFormatting>
  <conditionalFormatting sqref="B110:J119">
    <cfRule type="expression" dxfId="2" priority="7">
      <formula>$B$110=""</formula>
    </cfRule>
  </conditionalFormatting>
  <conditionalFormatting sqref="B120:J129">
    <cfRule type="expression" dxfId="2" priority="6">
      <formula>$B$120=""</formula>
    </cfRule>
  </conditionalFormatting>
  <dataValidations count="3">
    <dataValidation allowBlank="1" showInputMessage="1" showErrorMessage="1" sqref="H45 H46 H64 H65 H30:H44 H49:H63"/>
    <dataValidation type="list" allowBlank="1" showInputMessage="1" showErrorMessage="1" sqref="I45 I46 I64 I65 I30:I44 I49:I63">
      <formula1>"讲授法,讨论法,演示法,实验法,实习作业法,陶冶法,探究法,其他"</formula1>
    </dataValidation>
    <dataValidation type="date" operator="between" allowBlank="1" showInputMessage="1" showErrorMessage="1" prompt="请输入2017/9/1-2019/9/1之间日期" sqref="I139:J139">
      <formula1>42979</formula1>
      <formula2>43709</formula2>
    </dataValidation>
  </dataValidations>
  <hyperlinks>
    <hyperlink ref="J149" location="'1、课程目标与考核方式'!A1" display="去设置"/>
    <hyperlink ref="E165" r:id="rId2" display="18版大纲"/>
    <hyperlink ref="C167:J167" r:id="rId3" display="形成2022版新课程大纲"/>
  </hyperlinks>
  <pageMargins left="0.75" right="0.75" top="1" bottom="1" header="0.5" footer="0.5"/>
  <pageSetup paperSize="9" orientation="portrait"/>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rangeList sheetStid="2" master="">
    <arrUserId title="区域4" rangeCreator="" othersAccessPermission="edit"/>
    <arrUserId title="区域3" rangeCreator="" othersAccessPermission="edit"/>
    <arrUserId title="区域2" rangeCreator="" othersAccessPermission="edit"/>
    <arrUserId title="区域1" rangeCreator="" othersAccessPermission="edit"/>
    <arrUserId title="区域4_1" rangeCreator="" othersAccessPermission="edit"/>
    <arrUserId title="区域6" rangeCreator="" othersAccessPermission="edit"/>
  </rangeList>
  <rangeList sheetStid="3" master="">
    <arrUserId title="期末试卷试题分布表" rangeCreator="" othersAccessPermission="edit"/>
    <arrUserId title="期末试卷试题分布表_1" rangeCreator="" othersAccessPermission="edit"/>
    <arrUserId title="期末试卷试题分布表_1_1" rangeCreator="" othersAccessPermission="edit"/>
  </rangeList>
  <rangeList sheetStid="4" master="">
    <arrUserId title="期末试卷每小题对应课程目标的分布表" rangeCreator="" othersAccessPermission="edit"/>
    <arrUserId title="期末试卷每小题对应课程目标的分布表_1" rangeCreator="" othersAccessPermission="edit"/>
    <arrUserId title="期末试卷每小题对应课程目标的分布表_2" rangeCreator="" othersAccessPermission="edit"/>
    <arrUserId title="期末试卷每小题对应课程目标的分布表_3" rangeCreator="" othersAccessPermission="edit"/>
  </rangeList>
  <rangeList sheetStid="5" master=""/>
  <rangeList sheetStid="6" master="">
    <arrUserId title="期末试卷原始成绩表" rangeCreator="" othersAccessPermission="edit"/>
    <arrUserId title="期末试卷原始成绩表_1" rangeCreator="" othersAccessPermission="edit"/>
    <arrUserId title="期末试卷原始成绩表_2_1" rangeCreator="" othersAccessPermission="edit"/>
    <arrUserId title="期末试卷原始成绩表_2" rangeCreator="" othersAccessPermission="edit"/>
    <arrUserId title="期末试卷原始成绩表_1_1" rangeCreator="" othersAccessPermission="edit"/>
    <arrUserId title="期末试卷原始成绩表_2_2" rangeCreator="" othersAccessPermission="edit"/>
  </rangeList>
  <rangeList sheetStid="7" master="">
    <arrUserId title="平时成绩表" rangeCreator="" othersAccessPermission="edit"/>
    <arrUserId title="平时成绩表_1" rangeCreator="" othersAccessPermission="edit"/>
  </rangeList>
  <rangeList sheetStid="8" master=""/>
  <rangeList sheetStid="18" master=""/>
  <rangeList sheetStid="21" master=""/>
  <rangeList sheetStid="19" master=""/>
  <rangeList sheetStid="9" master="">
    <arrUserId title="区域2" rangeCreator="" othersAccessPermission="edit"/>
  </rangeList>
  <rangeList sheetStid="13" master=""/>
  <rangeList sheetStid="17" master=""/>
  <rangeList sheetStid="14" master=""/>
  <rangeList sheetStid="20" master=""/>
  <rangeList sheetStid="16" master=""/>
  <rangeList sheetStid="10" master=""/>
  <rangeList sheetStid="11" master=""/>
  <rangeList sheetStid="12"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上海海洋大学</Company>
  <Application>Microsoft Excel</Application>
  <HeadingPairs>
    <vt:vector size="2" baseType="variant">
      <vt:variant>
        <vt:lpstr>工作表</vt:lpstr>
      </vt:variant>
      <vt:variant>
        <vt:i4>20</vt:i4>
      </vt:variant>
    </vt:vector>
  </HeadingPairs>
  <TitlesOfParts>
    <vt:vector size="20" baseType="lpstr">
      <vt:lpstr>使用说明</vt:lpstr>
      <vt:lpstr>1、课程目标与考核方式</vt:lpstr>
      <vt:lpstr>2、试卷（期末）</vt:lpstr>
      <vt:lpstr>2、试卷（期末题目-课程目标）</vt:lpstr>
      <vt:lpstr>temp1</vt:lpstr>
      <vt:lpstr>3、期末成绩</vt:lpstr>
      <vt:lpstr>4、平时成绩</vt:lpstr>
      <vt:lpstr>5、打印达成度</vt:lpstr>
      <vt:lpstr>6、大纲</vt:lpstr>
      <vt:lpstr>7、散点图</vt:lpstr>
      <vt:lpstr>Sheet2</vt:lpstr>
      <vt:lpstr>7、自动毕业达成度评价表</vt:lpstr>
      <vt:lpstr>数据源</vt:lpstr>
      <vt:lpstr>Sheet1</vt:lpstr>
      <vt:lpstr>数据源1</vt:lpstr>
      <vt:lpstr>指标点</vt:lpstr>
      <vt:lpstr>期末成绩分析表</vt:lpstr>
      <vt:lpstr>平时成绩考核与评价方式表</vt:lpstr>
      <vt:lpstr>期末试卷分析表</vt:lpstr>
      <vt:lpstr>平均分统计表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达成度计算2022beta</dc:title>
  <dc:creator>zszheng</dc:creator>
  <cp:lastModifiedBy>郑+1</cp:lastModifiedBy>
  <cp:revision>1</cp:revision>
  <dcterms:created xsi:type="dcterms:W3CDTF">2015-06-05T18:19:00Z</dcterms:created>
  <cp:lastPrinted>2019-07-03T07:59:00Z</cp:lastPrinted>
  <dcterms:modified xsi:type="dcterms:W3CDTF">2022-09-05T03:03:26Z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2052-11.1.0.12313</vt:lpwstr>
  </property>
  <property fmtid="{D5CDD505-2E9C-101B-9397-08002B2CF9AE}" pid="3" name="ICV">
    <vt:lpwstr>F57C5AB3935E400585E2DE31B32A9C6D</vt:lpwstr>
  </property>
</Properties>
</file>